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sema.mt.gov.br\pastas\docs\pasta_25\2. GAQ\01 - 2022\LICITAÇÃO\CONCORRÊNCIA\PROCESSO SEMA-PRO-2021 00721 Hospital Veterinário\DOCTS SIAG E SITE SEMA\"/>
    </mc:Choice>
  </mc:AlternateContent>
  <bookViews>
    <workbookView xWindow="-120" yWindow="-120" windowWidth="25440" windowHeight="15390" tabRatio="885" firstSheet="12" activeTab="12"/>
  </bookViews>
  <sheets>
    <sheet name="12ª Med" sheetId="40" state="hidden" r:id="rId1"/>
    <sheet name="11ª Med" sheetId="39" state="hidden" r:id="rId2"/>
    <sheet name="10ª Med" sheetId="38" state="hidden" r:id="rId3"/>
    <sheet name="9ª Med" sheetId="37" state="hidden" r:id="rId4"/>
    <sheet name="8ª Med" sheetId="36" state="hidden" r:id="rId5"/>
    <sheet name="7ª Med" sheetId="35" state="hidden" r:id="rId6"/>
    <sheet name="6ª Med" sheetId="34" state="hidden" r:id="rId7"/>
    <sheet name="5ª Med" sheetId="33" state="hidden" r:id="rId8"/>
    <sheet name="4ª Med" sheetId="32" state="hidden" r:id="rId9"/>
    <sheet name="3ª Med" sheetId="31" state="hidden" r:id="rId10"/>
    <sheet name="2ª Med" sheetId="30" state="hidden" r:id="rId11"/>
    <sheet name="1ª Med" sheetId="27" state="hidden" r:id="rId12"/>
    <sheet name="RESUMO" sheetId="8" r:id="rId13"/>
    <sheet name="Reforma" sheetId="20" state="hidden" r:id="rId14"/>
    <sheet name="Cron Reforma" sheetId="22" state="hidden" r:id="rId15"/>
    <sheet name="Quat Const." sheetId="23" state="hidden" r:id="rId16"/>
    <sheet name="Ampliação 02 Salas Aula" sheetId="44" state="hidden" r:id="rId17"/>
    <sheet name="Quant Ampl 02 Salas" sheetId="42" state="hidden" r:id="rId18"/>
    <sheet name="Cron Ampl 02 Salas" sheetId="43" state="hidden" r:id="rId19"/>
    <sheet name="CRONOGRAMA" sheetId="54" r:id="rId20"/>
    <sheet name="ORÇAMENTO" sheetId="52" r:id="rId21"/>
    <sheet name="REDE ÁGUA" sheetId="47" state="hidden" r:id="rId22"/>
    <sheet name="Elétrica" sheetId="19" state="hidden" r:id="rId23"/>
    <sheet name="Crono Elétrica" sheetId="14" state="hidden" r:id="rId24"/>
    <sheet name="Drenagem" sheetId="28" state="hidden" r:id="rId25"/>
    <sheet name="Crono Drenagem" sheetId="29" state="hidden" r:id="rId26"/>
    <sheet name="COMPOSIÇÕES" sheetId="53" r:id="rId27"/>
    <sheet name="BDI" sheetId="48" r:id="rId28"/>
    <sheet name="LEI" sheetId="55" r:id="rId29"/>
    <sheet name="DECLARAÇÃO" sheetId="56" r:id="rId30"/>
    <sheet name="COTAÇÕES" sheetId="57" r:id="rId31"/>
  </sheets>
  <externalReferences>
    <externalReference r:id="rId32"/>
    <externalReference r:id="rId33"/>
    <externalReference r:id="rId34"/>
    <externalReference r:id="rId35"/>
    <externalReference r:id="rId36"/>
  </externalReferences>
  <definedNames>
    <definedName name="_xlnm._FilterDatabase" localSheetId="26" hidden="1">COMPOSIÇÕES!$A$286:$G$339</definedName>
    <definedName name="_xlnm.Print_Area" localSheetId="2">'10ª Med'!$A$1:$L$37</definedName>
    <definedName name="_xlnm.Print_Area" localSheetId="1">'11ª Med'!$A$1:$L$37</definedName>
    <definedName name="_xlnm.Print_Area" localSheetId="0">'12ª Med'!$A$1:$L$37</definedName>
    <definedName name="_xlnm.Print_Area" localSheetId="11">'1ª Med'!$A$1:$L$38</definedName>
    <definedName name="_xlnm.Print_Area" localSheetId="10">'2ª Med'!$A$1:$L$37</definedName>
    <definedName name="_xlnm.Print_Area" localSheetId="9">'3ª Med'!$A$1:$L$37</definedName>
    <definedName name="_xlnm.Print_Area" localSheetId="8">'4ª Med'!$A$1:$L$37</definedName>
    <definedName name="_xlnm.Print_Area" localSheetId="7">'5ª Med'!$A$1:$L$37</definedName>
    <definedName name="_xlnm.Print_Area" localSheetId="6">'6ª Med'!$A$1:$L$37</definedName>
    <definedName name="_xlnm.Print_Area" localSheetId="5">'7ª Med'!$A$1:$L$37</definedName>
    <definedName name="_xlnm.Print_Area" localSheetId="4">'8ª Med'!$A$1:$L$37</definedName>
    <definedName name="_xlnm.Print_Area" localSheetId="3">'9ª Med'!$A$1:$L$37</definedName>
    <definedName name="_xlnm.Print_Area" localSheetId="16">'Ampliação 02 Salas Aula'!$A$1:$L$90</definedName>
    <definedName name="_xlnm.Print_Area" localSheetId="27">BDI!$A$1:$D$57</definedName>
    <definedName name="_xlnm.Print_Area" localSheetId="26">COMPOSIÇÕES!$A$1:$G$1725</definedName>
    <definedName name="_xlnm.Print_Area" localSheetId="18">'Cron Ampl 02 Salas'!$A$1:$AB$34</definedName>
    <definedName name="_xlnm.Print_Area" localSheetId="14">'Cron Reforma'!$A$1:$AB$36</definedName>
    <definedName name="_xlnm.Print_Area" localSheetId="25">'Crono Drenagem'!$A$1:$AB$28</definedName>
    <definedName name="_xlnm.Print_Area" localSheetId="23">'Crono Elétrica'!$A$1:$AB$21</definedName>
    <definedName name="_xlnm.Print_Area" localSheetId="19">CRONOGRAMA!$A$1:$J$24</definedName>
    <definedName name="_xlnm.Print_Area" localSheetId="24">Drenagem!$A$1:$K$23</definedName>
    <definedName name="_xlnm.Print_Area" localSheetId="22">Elétrica!$A$1:$K$127</definedName>
    <definedName name="_xlnm.Print_Area" localSheetId="28">LEI!$A$1:$J$98</definedName>
    <definedName name="_xlnm.Print_Area" localSheetId="20">ORÇAMENTO!$A$1:$H$214</definedName>
    <definedName name="_xlnm.Print_Area" localSheetId="15">'Quat Const.'!$A$1:$J$136</definedName>
    <definedName name="_xlnm.Print_Area" localSheetId="21">'REDE ÁGUA'!$A$1:$K$40</definedName>
    <definedName name="_xlnm.Print_Area" localSheetId="13">Reforma!$A$1:$L$147</definedName>
    <definedName name="_xlnm.Print_Area" localSheetId="12">RESUMO!$A$1:$D$24</definedName>
    <definedName name="Serviços" localSheetId="2">[1]Serviços!$A$3:$AE$2694</definedName>
    <definedName name="Serviços" localSheetId="1">[1]Serviços!$A$3:$AE$2694</definedName>
    <definedName name="Serviços" localSheetId="0">[1]Serviços!$A$3:$AE$2694</definedName>
    <definedName name="Serviços" localSheetId="11">[1]Serviços!$A$3:$AE$2694</definedName>
    <definedName name="Serviços" localSheetId="10">[1]Serviços!$A$3:$AE$2694</definedName>
    <definedName name="Serviços" localSheetId="9">[1]Serviços!$A$3:$AE$2694</definedName>
    <definedName name="Serviços" localSheetId="8">[1]Serviços!$A$3:$AE$2694</definedName>
    <definedName name="Serviços" localSheetId="7">[1]Serviços!$A$3:$AE$2694</definedName>
    <definedName name="Serviços" localSheetId="6">[1]Serviços!$A$3:$AE$2694</definedName>
    <definedName name="Serviços" localSheetId="5">[1]Serviços!$A$3:$AE$2694</definedName>
    <definedName name="Serviços" localSheetId="4">[1]Serviços!$A$3:$AE$2694</definedName>
    <definedName name="Serviços" localSheetId="3">[1]Serviços!$A$3:$AE$2694</definedName>
    <definedName name="Serviços">[2]Solum!$A$3:$AD$2430</definedName>
    <definedName name="_xlnm.Print_Titles" localSheetId="2">'10ª Med'!$1:$17</definedName>
    <definedName name="_xlnm.Print_Titles" localSheetId="1">'11ª Med'!$1:$17</definedName>
    <definedName name="_xlnm.Print_Titles" localSheetId="0">'12ª Med'!$1:$17</definedName>
    <definedName name="_xlnm.Print_Titles" localSheetId="11">'1ª Med'!$1:$17</definedName>
    <definedName name="_xlnm.Print_Titles" localSheetId="10">'2ª Med'!$1:$17</definedName>
    <definedName name="_xlnm.Print_Titles" localSheetId="9">'3ª Med'!$1:$17</definedName>
    <definedName name="_xlnm.Print_Titles" localSheetId="8">'4ª Med'!$1:$17</definedName>
    <definedName name="_xlnm.Print_Titles" localSheetId="7">'5ª Med'!$1:$17</definedName>
    <definedName name="_xlnm.Print_Titles" localSheetId="6">'6ª Med'!$1:$17</definedName>
    <definedName name="_xlnm.Print_Titles" localSheetId="5">'7ª Med'!$1:$17</definedName>
    <definedName name="_xlnm.Print_Titles" localSheetId="4">'8ª Med'!$1:$17</definedName>
    <definedName name="_xlnm.Print_Titles" localSheetId="3">'9ª Med'!$1:$17</definedName>
    <definedName name="_xlnm.Print_Titles" localSheetId="16">'Ampliação 02 Salas Aula'!$1:$11</definedName>
    <definedName name="_xlnm.Print_Titles" localSheetId="26">COMPOSIÇÕES!$1:$9</definedName>
    <definedName name="_xlnm.Print_Titles" localSheetId="14">'Cron Reforma'!$1:$15</definedName>
    <definedName name="_xlnm.Print_Titles" localSheetId="25">'Crono Drenagem'!$1:$15</definedName>
    <definedName name="_xlnm.Print_Titles" localSheetId="24">Drenagem!$1:$11</definedName>
    <definedName name="_xlnm.Print_Titles" localSheetId="22">Elétrica!$1:$11</definedName>
    <definedName name="_xlnm.Print_Titles" localSheetId="20">ORÇAMENTO!$1:$9</definedName>
    <definedName name="_xlnm.Print_Titles" localSheetId="13">Reforma!$1:$11</definedName>
    <definedName name="_xlnm.Print_Titles" localSheetId="12">RESUMO!$4:$10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53" l="1"/>
  <c r="F134" i="52"/>
  <c r="F111" i="52"/>
  <c r="B134" i="52"/>
  <c r="B111" i="52"/>
  <c r="B107" i="52"/>
  <c r="B85" i="52"/>
  <c r="C164" i="52"/>
  <c r="B164" i="52"/>
  <c r="C146" i="52"/>
  <c r="B146" i="52"/>
  <c r="D1721" i="53"/>
  <c r="F1714" i="53" s="1"/>
  <c r="G1714" i="53" s="1"/>
  <c r="G1722" i="53" s="1"/>
  <c r="B1716" i="53"/>
  <c r="G1710" i="53"/>
  <c r="G1711" i="53" s="1"/>
  <c r="D1247" i="53"/>
  <c r="D1057" i="53"/>
  <c r="B204" i="52"/>
  <c r="B209" i="52"/>
  <c r="B49" i="52"/>
  <c r="G1723" i="53" l="1"/>
  <c r="E191" i="52"/>
  <c r="F146" i="52" l="1"/>
  <c r="F164" i="52"/>
  <c r="G164" i="52" s="1"/>
  <c r="H164" i="52" s="1"/>
  <c r="E190" i="52"/>
  <c r="E177" i="52"/>
  <c r="E184" i="52"/>
  <c r="E179" i="52"/>
  <c r="B21" i="54" l="1"/>
  <c r="B20" i="54"/>
  <c r="B19" i="8"/>
  <c r="B18" i="8"/>
  <c r="B83" i="52"/>
  <c r="B95" i="52"/>
  <c r="B91" i="52"/>
  <c r="B90" i="52"/>
  <c r="B89" i="52"/>
  <c r="B88" i="52"/>
  <c r="B87" i="52"/>
  <c r="B86" i="52"/>
  <c r="B169" i="52"/>
  <c r="B173" i="52"/>
  <c r="B198" i="52" l="1"/>
  <c r="G1700" i="53"/>
  <c r="G1701" i="53" s="1"/>
  <c r="G1696" i="53"/>
  <c r="G1695" i="53"/>
  <c r="C1692" i="53"/>
  <c r="C198" i="52" s="1"/>
  <c r="B206" i="52"/>
  <c r="G1682" i="53"/>
  <c r="G1681" i="53"/>
  <c r="G1686" i="53"/>
  <c r="G1687" i="53" s="1"/>
  <c r="C1678" i="53"/>
  <c r="C206" i="52" s="1"/>
  <c r="B205" i="52"/>
  <c r="G1668" i="53"/>
  <c r="G1667" i="53"/>
  <c r="G1672" i="53"/>
  <c r="G1673" i="53" s="1"/>
  <c r="C1664" i="53"/>
  <c r="C205" i="52" s="1"/>
  <c r="B203" i="52"/>
  <c r="G1658" i="53"/>
  <c r="G1659" i="53" s="1"/>
  <c r="G1654" i="53"/>
  <c r="G1653" i="53"/>
  <c r="C1650" i="53"/>
  <c r="C203" i="52" s="1"/>
  <c r="B201" i="52"/>
  <c r="G1644" i="53"/>
  <c r="G1645" i="53" s="1"/>
  <c r="G1640" i="53"/>
  <c r="G1639" i="53"/>
  <c r="C1636" i="53"/>
  <c r="C201" i="52" s="1"/>
  <c r="B199" i="52"/>
  <c r="B197" i="52"/>
  <c r="B196" i="52"/>
  <c r="B195" i="52"/>
  <c r="B194" i="52"/>
  <c r="B193" i="52"/>
  <c r="G1630" i="53"/>
  <c r="G1631" i="53" s="1"/>
  <c r="G1626" i="53"/>
  <c r="G1625" i="53"/>
  <c r="C1622" i="53"/>
  <c r="C193" i="52" s="1"/>
  <c r="B192" i="52"/>
  <c r="G1616" i="53"/>
  <c r="G1617" i="53" s="1"/>
  <c r="G1612" i="53"/>
  <c r="G1611" i="53"/>
  <c r="C1608" i="53"/>
  <c r="C192" i="52" s="1"/>
  <c r="C172" i="52"/>
  <c r="B172" i="52"/>
  <c r="G1602" i="53"/>
  <c r="G1603" i="53" s="1"/>
  <c r="G1598" i="53"/>
  <c r="G1597" i="53"/>
  <c r="C1594" i="53"/>
  <c r="B171" i="52"/>
  <c r="G1588" i="53"/>
  <c r="G1589" i="53" s="1"/>
  <c r="G1584" i="53"/>
  <c r="G1583" i="53"/>
  <c r="C1580" i="53"/>
  <c r="C171" i="52" s="1"/>
  <c r="C1566" i="53"/>
  <c r="C169" i="52" s="1"/>
  <c r="G1574" i="53"/>
  <c r="G1575" i="53" s="1"/>
  <c r="G1570" i="53"/>
  <c r="G1569" i="53"/>
  <c r="C28" i="52"/>
  <c r="B28" i="52"/>
  <c r="B69" i="52"/>
  <c r="G1613" i="53" l="1"/>
  <c r="G1618" i="53" s="1"/>
  <c r="F192" i="52" s="1"/>
  <c r="G1655" i="53"/>
  <c r="G1660" i="53" s="1"/>
  <c r="F203" i="52" s="1"/>
  <c r="G1697" i="53"/>
  <c r="G1683" i="53"/>
  <c r="G1688" i="53" s="1"/>
  <c r="F206" i="52" s="1"/>
  <c r="G1669" i="53"/>
  <c r="G1674" i="53" s="1"/>
  <c r="F205" i="52" s="1"/>
  <c r="G1641" i="53"/>
  <c r="G1646" i="53" s="1"/>
  <c r="F201" i="52" s="1"/>
  <c r="G1627" i="53"/>
  <c r="G1632" i="53" s="1"/>
  <c r="F193" i="52" s="1"/>
  <c r="G1599" i="53"/>
  <c r="G1604" i="53" s="1"/>
  <c r="F172" i="52" s="1"/>
  <c r="G1585" i="53"/>
  <c r="G1571" i="53"/>
  <c r="G1576" i="53" s="1"/>
  <c r="F169" i="52" s="1"/>
  <c r="C165" i="52"/>
  <c r="B165" i="52"/>
  <c r="B163" i="52"/>
  <c r="B162" i="52"/>
  <c r="B161" i="52"/>
  <c r="B160" i="52"/>
  <c r="B159" i="52"/>
  <c r="B158" i="52"/>
  <c r="B157" i="52"/>
  <c r="B156" i="52"/>
  <c r="B155" i="52"/>
  <c r="B154" i="52"/>
  <c r="B153" i="52"/>
  <c r="B152" i="52"/>
  <c r="B151" i="52"/>
  <c r="B150" i="52"/>
  <c r="B132" i="52"/>
  <c r="B109" i="52"/>
  <c r="G1702" i="53" l="1"/>
  <c r="F198" i="52" s="1"/>
  <c r="G1590" i="53"/>
  <c r="F171" i="52" s="1"/>
  <c r="J5" i="57"/>
  <c r="I5" i="57"/>
  <c r="B5" i="57"/>
  <c r="A5" i="57"/>
  <c r="I4" i="57"/>
  <c r="B4" i="57"/>
  <c r="A4" i="57"/>
  <c r="B3" i="57"/>
  <c r="A3" i="57"/>
  <c r="B2" i="57"/>
  <c r="A2" i="57"/>
  <c r="J5" i="56"/>
  <c r="I5" i="56"/>
  <c r="B5" i="56"/>
  <c r="A5" i="56"/>
  <c r="I4" i="56"/>
  <c r="B4" i="56"/>
  <c r="A4" i="56"/>
  <c r="B3" i="56"/>
  <c r="A3" i="56"/>
  <c r="B2" i="56"/>
  <c r="A2" i="56"/>
  <c r="J5" i="55"/>
  <c r="I5" i="55"/>
  <c r="B5" i="55"/>
  <c r="A5" i="55"/>
  <c r="I4" i="55"/>
  <c r="B4" i="55"/>
  <c r="A4" i="55"/>
  <c r="B3" i="55"/>
  <c r="A3" i="55"/>
  <c r="B2" i="55"/>
  <c r="A2" i="55"/>
  <c r="E127" i="52"/>
  <c r="E119" i="52"/>
  <c r="E118" i="52"/>
  <c r="E133" i="52"/>
  <c r="G1560" i="53"/>
  <c r="G1561" i="53" s="1"/>
  <c r="G1556" i="53"/>
  <c r="G1557" i="53" s="1"/>
  <c r="G1552" i="53"/>
  <c r="G1551" i="53"/>
  <c r="G1550" i="53"/>
  <c r="B59" i="52"/>
  <c r="G1553" i="53" l="1"/>
  <c r="G1562" i="53" s="1"/>
  <c r="B19" i="54" l="1"/>
  <c r="A19" i="54"/>
  <c r="B18" i="54"/>
  <c r="A18" i="54"/>
  <c r="B17" i="54"/>
  <c r="A17" i="54"/>
  <c r="B17" i="8"/>
  <c r="A17" i="8"/>
  <c r="B16" i="8"/>
  <c r="A16" i="8"/>
  <c r="B15" i="8"/>
  <c r="A15" i="8"/>
  <c r="B145" i="52"/>
  <c r="B144" i="52"/>
  <c r="B143" i="52"/>
  <c r="B142" i="52"/>
  <c r="B141" i="52"/>
  <c r="B140" i="52"/>
  <c r="B139" i="52"/>
  <c r="B138" i="52"/>
  <c r="B137" i="52"/>
  <c r="B136" i="52"/>
  <c r="B135" i="52"/>
  <c r="B133" i="52"/>
  <c r="B131" i="52"/>
  <c r="B127" i="52"/>
  <c r="B126" i="52"/>
  <c r="C125" i="52"/>
  <c r="B125" i="52"/>
  <c r="B124" i="52"/>
  <c r="B123" i="52"/>
  <c r="B122" i="52"/>
  <c r="B121" i="52"/>
  <c r="B120" i="52"/>
  <c r="B119" i="52"/>
  <c r="B118" i="52"/>
  <c r="B117" i="52"/>
  <c r="B116" i="52"/>
  <c r="B115" i="52"/>
  <c r="B114" i="52"/>
  <c r="B113" i="52"/>
  <c r="B112" i="52"/>
  <c r="B110" i="52"/>
  <c r="B108" i="52"/>
  <c r="B106" i="52"/>
  <c r="C102" i="52"/>
  <c r="B102" i="52"/>
  <c r="B101" i="52"/>
  <c r="B100" i="52"/>
  <c r="B99" i="52"/>
  <c r="B98" i="52"/>
  <c r="B97" i="52"/>
  <c r="B96" i="52"/>
  <c r="C91" i="52"/>
  <c r="G1541" i="53"/>
  <c r="G1542" i="53" s="1"/>
  <c r="G1537" i="53"/>
  <c r="G1538" i="53" s="1"/>
  <c r="B84" i="52"/>
  <c r="G1543" i="53" l="1"/>
  <c r="B37" i="52"/>
  <c r="B30" i="52"/>
  <c r="B29" i="52"/>
  <c r="C27" i="52"/>
  <c r="B27" i="52"/>
  <c r="F91" i="52" l="1"/>
  <c r="F102" i="52"/>
  <c r="B4" i="52"/>
  <c r="D54" i="48"/>
  <c r="D47" i="48"/>
  <c r="D43" i="48"/>
  <c r="D39" i="48"/>
  <c r="D28" i="48"/>
  <c r="D21" i="48"/>
  <c r="D17" i="48"/>
  <c r="D13" i="48"/>
  <c r="D30" i="48" l="1"/>
  <c r="D56" i="48"/>
  <c r="J4" i="57" l="1"/>
  <c r="J4" i="55"/>
  <c r="J4" i="56"/>
  <c r="H4" i="52"/>
  <c r="J4" i="54"/>
  <c r="D3" i="8"/>
  <c r="E2" i="53"/>
  <c r="C1422" i="53"/>
  <c r="C144" i="52" s="1"/>
  <c r="G20" i="52" l="1"/>
  <c r="G21" i="52"/>
  <c r="G186" i="52"/>
  <c r="H186" i="52" s="1"/>
  <c r="G181" i="52"/>
  <c r="H181" i="52" s="1"/>
  <c r="G190" i="52"/>
  <c r="H190" i="52" s="1"/>
  <c r="G176" i="52"/>
  <c r="H176" i="52" s="1"/>
  <c r="G205" i="52"/>
  <c r="H205" i="52" s="1"/>
  <c r="G172" i="52"/>
  <c r="H172" i="52" s="1"/>
  <c r="G171" i="52"/>
  <c r="H171" i="52" s="1"/>
  <c r="G32" i="52"/>
  <c r="H32" i="52" s="1"/>
  <c r="G91" i="52"/>
  <c r="H91" i="52" s="1"/>
  <c r="G191" i="52"/>
  <c r="H191" i="52" s="1"/>
  <c r="G185" i="52"/>
  <c r="H185" i="52" s="1"/>
  <c r="G183" i="52"/>
  <c r="H183" i="52" s="1"/>
  <c r="G180" i="52"/>
  <c r="H180" i="52" s="1"/>
  <c r="G178" i="52"/>
  <c r="H178" i="52" s="1"/>
  <c r="G174" i="52"/>
  <c r="H174" i="52" s="1"/>
  <c r="G201" i="52"/>
  <c r="H201" i="52" s="1"/>
  <c r="G206" i="52"/>
  <c r="H206" i="52" s="1"/>
  <c r="G192" i="52"/>
  <c r="H192" i="52" s="1"/>
  <c r="G33" i="52"/>
  <c r="H33" i="52" s="1"/>
  <c r="G40" i="52"/>
  <c r="H40" i="52" s="1"/>
  <c r="G35" i="52"/>
  <c r="H35" i="52" s="1"/>
  <c r="G102" i="52"/>
  <c r="H102" i="52" s="1"/>
  <c r="G208" i="52"/>
  <c r="H208" i="52" s="1"/>
  <c r="G188" i="52"/>
  <c r="H188" i="52" s="1"/>
  <c r="G184" i="52"/>
  <c r="H184" i="52" s="1"/>
  <c r="G189" i="52"/>
  <c r="H189" i="52" s="1"/>
  <c r="G177" i="52"/>
  <c r="H177" i="52" s="1"/>
  <c r="G210" i="52"/>
  <c r="H210" i="52" s="1"/>
  <c r="G200" i="52"/>
  <c r="H200" i="52" s="1"/>
  <c r="G169" i="52"/>
  <c r="H169" i="52" s="1"/>
  <c r="G198" i="52"/>
  <c r="H198" i="52" s="1"/>
  <c r="G73" i="52"/>
  <c r="H73" i="52" s="1"/>
  <c r="G41" i="52"/>
  <c r="H41" i="52" s="1"/>
  <c r="G207" i="52"/>
  <c r="H207" i="52" s="1"/>
  <c r="G187" i="52"/>
  <c r="H187" i="52" s="1"/>
  <c r="G182" i="52"/>
  <c r="H182" i="52" s="1"/>
  <c r="G179" i="52"/>
  <c r="H179" i="52" s="1"/>
  <c r="G175" i="52"/>
  <c r="H175" i="52" s="1"/>
  <c r="G202" i="52"/>
  <c r="H202" i="52" s="1"/>
  <c r="G203" i="52"/>
  <c r="H203" i="52" s="1"/>
  <c r="G170" i="52"/>
  <c r="H170" i="52" s="1"/>
  <c r="G193" i="52"/>
  <c r="H193" i="52" s="1"/>
  <c r="G36" i="52"/>
  <c r="H36" i="52" s="1"/>
  <c r="G42" i="52"/>
  <c r="H42" i="52" s="1"/>
  <c r="G38" i="52"/>
  <c r="H38" i="52" s="1"/>
  <c r="G34" i="52"/>
  <c r="H34" i="52" s="1"/>
  <c r="G39" i="52"/>
  <c r="H39" i="52" s="1"/>
  <c r="G31" i="52"/>
  <c r="H31" i="52" s="1"/>
  <c r="A24" i="54"/>
  <c r="D1529" i="53"/>
  <c r="F1520" i="53" s="1"/>
  <c r="G1520" i="53" s="1"/>
  <c r="G1521" i="53" s="1"/>
  <c r="C1520" i="53"/>
  <c r="G1516" i="53"/>
  <c r="G1515" i="53"/>
  <c r="C1512" i="53"/>
  <c r="G1505" i="53"/>
  <c r="G1506" i="53" s="1"/>
  <c r="G1501" i="53"/>
  <c r="G1500" i="53"/>
  <c r="C1497" i="53"/>
  <c r="G1490" i="53"/>
  <c r="G1491" i="53" s="1"/>
  <c r="G1486" i="53"/>
  <c r="G1485" i="53"/>
  <c r="C1482" i="53"/>
  <c r="G1475" i="53"/>
  <c r="G1476" i="53" s="1"/>
  <c r="G1471" i="53"/>
  <c r="G1470" i="53"/>
  <c r="C1467" i="53"/>
  <c r="C1452" i="53"/>
  <c r="G1460" i="53"/>
  <c r="G1461" i="53" s="1"/>
  <c r="G1456" i="53"/>
  <c r="G1455" i="53"/>
  <c r="B67" i="52"/>
  <c r="C1000" i="53"/>
  <c r="C992" i="53" s="1"/>
  <c r="B68" i="52"/>
  <c r="G1517" i="53" l="1"/>
  <c r="G1522" i="53" s="1"/>
  <c r="G1502" i="53"/>
  <c r="G1507" i="53" s="1"/>
  <c r="G1487" i="53"/>
  <c r="G1492" i="53" s="1"/>
  <c r="G1472" i="53"/>
  <c r="G1477" i="53" s="1"/>
  <c r="G1457" i="53"/>
  <c r="G1462" i="53" s="1"/>
  <c r="C1379" i="53"/>
  <c r="B45" i="52"/>
  <c r="B66" i="52" l="1"/>
  <c r="C283" i="53"/>
  <c r="C197" i="52" s="1"/>
  <c r="C163" i="52" l="1"/>
  <c r="C145" i="52"/>
  <c r="C124" i="52"/>
  <c r="C90" i="52"/>
  <c r="B79" i="52"/>
  <c r="B76" i="52"/>
  <c r="B75" i="52"/>
  <c r="B74" i="52"/>
  <c r="B71" i="52"/>
  <c r="B65" i="52"/>
  <c r="B64" i="52"/>
  <c r="B63" i="52"/>
  <c r="C1437" i="53"/>
  <c r="G1445" i="53"/>
  <c r="G1446" i="53" s="1"/>
  <c r="G1441" i="53"/>
  <c r="G1440" i="53"/>
  <c r="B62" i="52"/>
  <c r="B61" i="52"/>
  <c r="B60" i="52"/>
  <c r="B58" i="52"/>
  <c r="B57" i="52"/>
  <c r="B56" i="52"/>
  <c r="B55" i="52"/>
  <c r="C54" i="52"/>
  <c r="B54" i="52"/>
  <c r="B53" i="52"/>
  <c r="B52" i="52"/>
  <c r="B51" i="52"/>
  <c r="B50" i="52"/>
  <c r="B48" i="52"/>
  <c r="B47" i="52"/>
  <c r="B46" i="52"/>
  <c r="B44" i="52"/>
  <c r="G1430" i="53"/>
  <c r="G1431" i="53" s="1"/>
  <c r="G1426" i="53"/>
  <c r="G1425" i="53"/>
  <c r="B43" i="52"/>
  <c r="B26" i="52"/>
  <c r="D1417" i="53"/>
  <c r="F1408" i="53" s="1"/>
  <c r="G1408" i="53" s="1"/>
  <c r="G1409" i="53" s="1"/>
  <c r="C1408" i="53"/>
  <c r="G1404" i="53"/>
  <c r="G1403" i="53"/>
  <c r="C1400" i="53"/>
  <c r="C75" i="52" s="1"/>
  <c r="C157" i="52" l="1"/>
  <c r="C116" i="52"/>
  <c r="C101" i="52"/>
  <c r="G1442" i="53"/>
  <c r="G1447" i="53" s="1"/>
  <c r="G1427" i="53"/>
  <c r="G1432" i="53" s="1"/>
  <c r="F144" i="52" s="1"/>
  <c r="G144" i="52" s="1"/>
  <c r="H144" i="52" s="1"/>
  <c r="G1405" i="53"/>
  <c r="G1410" i="53" s="1"/>
  <c r="C63" i="52"/>
  <c r="D1394" i="53"/>
  <c r="F1387" i="53" s="1"/>
  <c r="G1387" i="53" s="1"/>
  <c r="G1388" i="53" s="1"/>
  <c r="C1387" i="53"/>
  <c r="G1383" i="53"/>
  <c r="G1382" i="53"/>
  <c r="F157" i="52" l="1"/>
  <c r="G157" i="52" s="1"/>
  <c r="H157" i="52" s="1"/>
  <c r="F116" i="52"/>
  <c r="G116" i="52" s="1"/>
  <c r="H116" i="52" s="1"/>
  <c r="F101" i="52"/>
  <c r="G101" i="52" s="1"/>
  <c r="H101" i="52" s="1"/>
  <c r="G1384" i="53"/>
  <c r="G1389" i="53" s="1"/>
  <c r="F63" i="52"/>
  <c r="F75" i="52"/>
  <c r="D1373" i="53"/>
  <c r="F1365" i="53" s="1"/>
  <c r="G1365" i="53" s="1"/>
  <c r="G1366" i="53" s="1"/>
  <c r="C1365" i="53"/>
  <c r="G1361" i="53"/>
  <c r="G1360" i="53"/>
  <c r="C1357" i="53"/>
  <c r="D1351" i="53"/>
  <c r="F1343" i="53" s="1"/>
  <c r="G1343" i="53" s="1"/>
  <c r="G1344" i="53" s="1"/>
  <c r="C1343" i="53"/>
  <c r="G1339" i="53"/>
  <c r="G1338" i="53"/>
  <c r="C1335" i="53"/>
  <c r="C1313" i="53"/>
  <c r="D1330" i="53"/>
  <c r="F1321" i="53" s="1"/>
  <c r="G1321" i="53" s="1"/>
  <c r="G1322" i="53" s="1"/>
  <c r="C1321" i="53"/>
  <c r="G1317" i="53"/>
  <c r="G1316" i="53"/>
  <c r="C143" i="52" l="1"/>
  <c r="C121" i="52"/>
  <c r="G1318" i="53"/>
  <c r="G1323" i="53" s="1"/>
  <c r="G1340" i="53"/>
  <c r="G1345" i="53" s="1"/>
  <c r="C74" i="52"/>
  <c r="G1362" i="53"/>
  <c r="G1367" i="53" s="1"/>
  <c r="G1306" i="53"/>
  <c r="G1307" i="53" s="1"/>
  <c r="G1302" i="53"/>
  <c r="G1303" i="53" s="1"/>
  <c r="C1299" i="53"/>
  <c r="C1277" i="53"/>
  <c r="D1293" i="53"/>
  <c r="F1285" i="53" s="1"/>
  <c r="G1285" i="53" s="1"/>
  <c r="G1286" i="53" s="1"/>
  <c r="B1288" i="53"/>
  <c r="G1281" i="53"/>
  <c r="G1280" i="53"/>
  <c r="C1255" i="53"/>
  <c r="C97" i="52" s="1"/>
  <c r="D1272" i="53"/>
  <c r="F1263" i="53" s="1"/>
  <c r="G1263" i="53" s="1"/>
  <c r="G1264" i="53" s="1"/>
  <c r="C1263" i="53"/>
  <c r="G1259" i="53"/>
  <c r="G1258" i="53"/>
  <c r="G1308" i="53" l="1"/>
  <c r="F143" i="52"/>
  <c r="G143" i="52" s="1"/>
  <c r="H143" i="52" s="1"/>
  <c r="F121" i="52"/>
  <c r="G121" i="52" s="1"/>
  <c r="H121" i="52" s="1"/>
  <c r="G1260" i="53"/>
  <c r="G1265" i="53" s="1"/>
  <c r="F97" i="52" s="1"/>
  <c r="G97" i="52" s="1"/>
  <c r="H97" i="52" s="1"/>
  <c r="F74" i="52"/>
  <c r="G1282" i="53"/>
  <c r="G1294" i="53" s="1"/>
  <c r="F1240" i="53"/>
  <c r="G1240" i="53" s="1"/>
  <c r="G1248" i="53" s="1"/>
  <c r="B1242" i="53"/>
  <c r="G1236" i="53"/>
  <c r="G1237" i="53" s="1"/>
  <c r="B1052" i="53"/>
  <c r="F1050" i="53"/>
  <c r="G1050" i="53" s="1"/>
  <c r="G1058" i="53" s="1"/>
  <c r="G1226" i="53"/>
  <c r="G1227" i="53" s="1"/>
  <c r="G1222" i="53"/>
  <c r="G1223" i="53" s="1"/>
  <c r="G1212" i="53"/>
  <c r="G1213" i="53" s="1"/>
  <c r="G1208" i="53"/>
  <c r="G1209" i="53" s="1"/>
  <c r="G1198" i="53"/>
  <c r="G1199" i="53" s="1"/>
  <c r="G1194" i="53"/>
  <c r="G1195" i="53" s="1"/>
  <c r="G1190" i="53"/>
  <c r="G1189" i="53"/>
  <c r="G1188" i="53"/>
  <c r="G1178" i="53"/>
  <c r="G1179" i="53" s="1"/>
  <c r="G1174" i="53"/>
  <c r="G1175" i="53" s="1"/>
  <c r="G1170" i="53"/>
  <c r="G1169" i="53"/>
  <c r="G1168" i="53"/>
  <c r="C1143" i="53"/>
  <c r="D1159" i="53"/>
  <c r="F1151" i="53" s="1"/>
  <c r="G1151" i="53" s="1"/>
  <c r="G1152" i="53" s="1"/>
  <c r="C1151" i="53"/>
  <c r="G1147" i="53"/>
  <c r="G1146" i="53"/>
  <c r="D1138" i="53"/>
  <c r="F1129" i="53" s="1"/>
  <c r="G1129" i="53" s="1"/>
  <c r="G1130" i="53" s="1"/>
  <c r="C1129" i="53"/>
  <c r="G1125" i="53"/>
  <c r="G1124" i="53"/>
  <c r="C1121" i="53"/>
  <c r="C1079" i="53"/>
  <c r="D1116" i="53"/>
  <c r="F1108" i="53" s="1"/>
  <c r="G1108" i="53" s="1"/>
  <c r="G1109" i="53" s="1"/>
  <c r="C1108" i="53"/>
  <c r="G1104" i="53"/>
  <c r="G1103" i="53"/>
  <c r="C1100" i="53"/>
  <c r="D1095" i="53"/>
  <c r="F1087" i="53" s="1"/>
  <c r="G1087" i="53" s="1"/>
  <c r="G1088" i="53" s="1"/>
  <c r="C1087" i="53"/>
  <c r="G1083" i="53"/>
  <c r="G1082" i="53"/>
  <c r="G1072" i="53"/>
  <c r="G1073" i="53" s="1"/>
  <c r="G1068" i="53"/>
  <c r="G1069" i="53" s="1"/>
  <c r="C897" i="53"/>
  <c r="C209" i="53"/>
  <c r="G1046" i="53"/>
  <c r="G1047" i="53" s="1"/>
  <c r="G1036" i="53"/>
  <c r="G1037" i="53" s="1"/>
  <c r="G1032" i="53"/>
  <c r="G1031" i="53"/>
  <c r="C1028" i="53"/>
  <c r="C1013" i="53"/>
  <c r="G1021" i="53"/>
  <c r="G1022" i="53" s="1"/>
  <c r="G1017" i="53"/>
  <c r="G1016" i="53"/>
  <c r="C867" i="53"/>
  <c r="C882" i="53"/>
  <c r="D1008" i="53"/>
  <c r="F1000" i="53" s="1"/>
  <c r="G1000" i="53" s="1"/>
  <c r="G1001" i="53" s="1"/>
  <c r="G996" i="53"/>
  <c r="G995" i="53"/>
  <c r="C676" i="53"/>
  <c r="C935" i="53"/>
  <c r="C927" i="53" s="1"/>
  <c r="C808" i="53"/>
  <c r="C118" i="52" s="1"/>
  <c r="C530" i="53"/>
  <c r="B519" i="53"/>
  <c r="D524" i="53"/>
  <c r="F516" i="53" s="1"/>
  <c r="C472" i="53"/>
  <c r="C238" i="53"/>
  <c r="B139" i="53"/>
  <c r="D144" i="53"/>
  <c r="F135" i="53" s="1"/>
  <c r="C508" i="53"/>
  <c r="C204" i="52" s="1"/>
  <c r="C223" i="53"/>
  <c r="B2" i="53"/>
  <c r="A12" i="8"/>
  <c r="A13" i="8"/>
  <c r="A14" i="8"/>
  <c r="G1214" i="53" l="1"/>
  <c r="G1228" i="53"/>
  <c r="C151" i="52"/>
  <c r="C132" i="52"/>
  <c r="C44" i="52"/>
  <c r="C109" i="52"/>
  <c r="C123" i="52"/>
  <c r="C162" i="52"/>
  <c r="C89" i="52"/>
  <c r="C142" i="52"/>
  <c r="C37" i="52"/>
  <c r="C59" i="52"/>
  <c r="C127" i="52"/>
  <c r="C30" i="52"/>
  <c r="C26" i="52"/>
  <c r="C79" i="52"/>
  <c r="G1249" i="53"/>
  <c r="F27" i="52" s="1"/>
  <c r="G27" i="52" s="1"/>
  <c r="H27" i="52" s="1"/>
  <c r="G1148" i="53"/>
  <c r="G1153" i="53" s="1"/>
  <c r="G1171" i="53"/>
  <c r="G1180" i="53" s="1"/>
  <c r="G1105" i="53"/>
  <c r="G1110" i="53" s="1"/>
  <c r="G1084" i="53"/>
  <c r="G1089" i="53" s="1"/>
  <c r="G1126" i="53"/>
  <c r="G1131" i="53" s="1"/>
  <c r="G1191" i="53"/>
  <c r="G1200" i="53" s="1"/>
  <c r="G1018" i="53"/>
  <c r="G1023" i="53" s="1"/>
  <c r="G1074" i="53"/>
  <c r="G1059" i="53"/>
  <c r="G1033" i="53"/>
  <c r="G1038" i="53" s="1"/>
  <c r="G997" i="53"/>
  <c r="G1002" i="53" s="1"/>
  <c r="F44" i="52" l="1"/>
  <c r="F109" i="52"/>
  <c r="G109" i="52" s="1"/>
  <c r="H109" i="52" s="1"/>
  <c r="F28" i="52"/>
  <c r="G28" i="52" s="1"/>
  <c r="H28" i="52" s="1"/>
  <c r="F165" i="52"/>
  <c r="G165" i="52" s="1"/>
  <c r="H165" i="52" s="1"/>
  <c r="G146" i="52"/>
  <c r="H146" i="52" s="1"/>
  <c r="F59" i="52"/>
  <c r="G59" i="52" s="1"/>
  <c r="H59" i="52" s="1"/>
  <c r="F127" i="52"/>
  <c r="G127" i="52" s="1"/>
  <c r="H127" i="52" s="1"/>
  <c r="F26" i="52"/>
  <c r="C291" i="53"/>
  <c r="C149" i="53" l="1"/>
  <c r="C126" i="52" s="1"/>
  <c r="C60" i="52" l="1"/>
  <c r="C354" i="53"/>
  <c r="C268" i="53"/>
  <c r="C209" i="52" s="1"/>
  <c r="C76" i="52" l="1"/>
  <c r="G585" i="53" l="1"/>
  <c r="G586" i="53"/>
  <c r="G590" i="53"/>
  <c r="G591" i="53" s="1"/>
  <c r="G392" i="53"/>
  <c r="G391" i="53"/>
  <c r="G905" i="53"/>
  <c r="G906" i="53" s="1"/>
  <c r="G920" i="53"/>
  <c r="G921" i="53" s="1"/>
  <c r="G890" i="53"/>
  <c r="G891" i="53" s="1"/>
  <c r="G886" i="53"/>
  <c r="G885" i="53"/>
  <c r="G901" i="53"/>
  <c r="G900" i="53"/>
  <c r="G916" i="53"/>
  <c r="G915" i="53"/>
  <c r="C912" i="53"/>
  <c r="G931" i="53"/>
  <c r="G930" i="53"/>
  <c r="C601" i="53"/>
  <c r="G609" i="53"/>
  <c r="G610" i="53" s="1"/>
  <c r="C616" i="53"/>
  <c r="C107" i="52" s="1"/>
  <c r="G624" i="53"/>
  <c r="G625" i="53" s="1"/>
  <c r="C631" i="53"/>
  <c r="G639" i="53"/>
  <c r="G640" i="53" s="1"/>
  <c r="C646" i="53"/>
  <c r="C114" i="52" s="1"/>
  <c r="G654" i="53"/>
  <c r="G655" i="53" s="1"/>
  <c r="C661" i="53"/>
  <c r="G605" i="53"/>
  <c r="G604" i="53"/>
  <c r="G620" i="53"/>
  <c r="G619" i="53"/>
  <c r="G635" i="53"/>
  <c r="G634" i="53"/>
  <c r="G650" i="53"/>
  <c r="G649" i="53"/>
  <c r="G669" i="53"/>
  <c r="G670" i="53" s="1"/>
  <c r="G665" i="53"/>
  <c r="G664" i="53"/>
  <c r="G680" i="53"/>
  <c r="G679" i="53"/>
  <c r="G702" i="53"/>
  <c r="G701" i="53"/>
  <c r="G724" i="53"/>
  <c r="G723" i="53"/>
  <c r="G746" i="53"/>
  <c r="G745" i="53"/>
  <c r="G768" i="53"/>
  <c r="G767" i="53"/>
  <c r="G790" i="53"/>
  <c r="G789" i="53"/>
  <c r="G812" i="53"/>
  <c r="G811" i="53"/>
  <c r="G827" i="53"/>
  <c r="G826" i="53"/>
  <c r="G849" i="53"/>
  <c r="G848" i="53"/>
  <c r="G871" i="53"/>
  <c r="G870" i="53"/>
  <c r="C253" i="53"/>
  <c r="C194" i="53"/>
  <c r="C179" i="53"/>
  <c r="C199" i="52" s="1"/>
  <c r="C164" i="53"/>
  <c r="C127" i="53"/>
  <c r="C108" i="52" s="1"/>
  <c r="C112" i="53"/>
  <c r="C194" i="52" s="1"/>
  <c r="C97" i="53"/>
  <c r="C82" i="53"/>
  <c r="C67" i="53"/>
  <c r="C52" i="53"/>
  <c r="C37" i="53"/>
  <c r="G246" i="53"/>
  <c r="G247" i="53" s="1"/>
  <c r="G231" i="53"/>
  <c r="G232" i="53" s="1"/>
  <c r="G216" i="53"/>
  <c r="G217" i="53" s="1"/>
  <c r="G202" i="53"/>
  <c r="G203" i="53" s="1"/>
  <c r="G187" i="53"/>
  <c r="G188" i="53" s="1"/>
  <c r="G172" i="53"/>
  <c r="G173" i="53" s="1"/>
  <c r="G157" i="53"/>
  <c r="G158" i="53" s="1"/>
  <c r="G135" i="53"/>
  <c r="G136" i="53" s="1"/>
  <c r="G120" i="53"/>
  <c r="G121" i="53" s="1"/>
  <c r="G105" i="53"/>
  <c r="G106" i="53" s="1"/>
  <c r="G90" i="53"/>
  <c r="G91" i="53" s="1"/>
  <c r="G75" i="53"/>
  <c r="G76" i="53" s="1"/>
  <c r="G60" i="53"/>
  <c r="G61" i="53" s="1"/>
  <c r="G45" i="53"/>
  <c r="G46" i="53" s="1"/>
  <c r="G41" i="53"/>
  <c r="G40" i="53"/>
  <c r="G56" i="53"/>
  <c r="G55" i="53"/>
  <c r="G71" i="53"/>
  <c r="G70" i="53"/>
  <c r="G86" i="53"/>
  <c r="G85" i="53"/>
  <c r="G101" i="53"/>
  <c r="G100" i="53"/>
  <c r="G116" i="53"/>
  <c r="G115" i="53"/>
  <c r="G131" i="53"/>
  <c r="G130" i="53"/>
  <c r="G153" i="53"/>
  <c r="G152" i="53"/>
  <c r="G168" i="53"/>
  <c r="G167" i="53"/>
  <c r="G183" i="53"/>
  <c r="G182" i="53"/>
  <c r="G198" i="53"/>
  <c r="G197" i="53"/>
  <c r="G212" i="53"/>
  <c r="G227" i="53"/>
  <c r="G226" i="53"/>
  <c r="G242" i="53"/>
  <c r="G241" i="53"/>
  <c r="G257" i="53"/>
  <c r="G256" i="53"/>
  <c r="G276" i="53"/>
  <c r="G277" i="53" s="1"/>
  <c r="G272" i="53"/>
  <c r="G271" i="53"/>
  <c r="C304" i="53"/>
  <c r="C58" i="52" s="1"/>
  <c r="G287" i="53"/>
  <c r="G286" i="53"/>
  <c r="G308" i="53"/>
  <c r="G307" i="53"/>
  <c r="G329" i="53"/>
  <c r="G328" i="53"/>
  <c r="G350" i="53"/>
  <c r="G349" i="53"/>
  <c r="G371" i="53"/>
  <c r="G370" i="53"/>
  <c r="G413" i="53"/>
  <c r="G412" i="53"/>
  <c r="G434" i="53"/>
  <c r="G433" i="53"/>
  <c r="G455" i="53"/>
  <c r="G454" i="53"/>
  <c r="G476" i="53"/>
  <c r="G475" i="53"/>
  <c r="G491" i="53"/>
  <c r="G490" i="53"/>
  <c r="G512" i="53"/>
  <c r="G511" i="53"/>
  <c r="G534" i="53"/>
  <c r="G533" i="53"/>
  <c r="G549" i="53"/>
  <c r="G548" i="53"/>
  <c r="C99" i="52" l="1"/>
  <c r="C86" i="52"/>
  <c r="C152" i="52"/>
  <c r="C195" i="52"/>
  <c r="C160" i="52"/>
  <c r="C119" i="52"/>
  <c r="C88" i="52"/>
  <c r="C140" i="52"/>
  <c r="C133" i="52"/>
  <c r="C110" i="52"/>
  <c r="C156" i="52"/>
  <c r="C115" i="52"/>
  <c r="C100" i="52"/>
  <c r="C106" i="52"/>
  <c r="C95" i="52"/>
  <c r="C83" i="52"/>
  <c r="C134" i="52"/>
  <c r="C111" i="52"/>
  <c r="C150" i="52"/>
  <c r="C84" i="52"/>
  <c r="C131" i="52"/>
  <c r="C29" i="52"/>
  <c r="C50" i="52"/>
  <c r="C71" i="52"/>
  <c r="C46" i="52"/>
  <c r="C65" i="52"/>
  <c r="C52" i="52"/>
  <c r="C56" i="52"/>
  <c r="C43" i="52"/>
  <c r="C57" i="52"/>
  <c r="C51" i="52"/>
  <c r="G887" i="53"/>
  <c r="G892" i="53" s="1"/>
  <c r="G902" i="53"/>
  <c r="G907" i="53" s="1"/>
  <c r="G917" i="53"/>
  <c r="G922" i="53" s="1"/>
  <c r="G932" i="53"/>
  <c r="G621" i="53"/>
  <c r="G626" i="53" s="1"/>
  <c r="G606" i="53"/>
  <c r="G611" i="53" s="1"/>
  <c r="G651" i="53"/>
  <c r="G656" i="53" s="1"/>
  <c r="F114" i="52" s="1"/>
  <c r="G114" i="52" s="1"/>
  <c r="H114" i="52" s="1"/>
  <c r="G636" i="53"/>
  <c r="G641" i="53" s="1"/>
  <c r="G666" i="53"/>
  <c r="G671" i="53" s="1"/>
  <c r="G681" i="53"/>
  <c r="G703" i="53"/>
  <c r="G725" i="53"/>
  <c r="G747" i="53"/>
  <c r="G769" i="53"/>
  <c r="G791" i="53"/>
  <c r="G813" i="53"/>
  <c r="G828" i="53"/>
  <c r="G850" i="53"/>
  <c r="G872" i="53"/>
  <c r="G42" i="53"/>
  <c r="G57" i="53"/>
  <c r="G72" i="53"/>
  <c r="G77" i="53" s="1"/>
  <c r="G87" i="53"/>
  <c r="G92" i="53" s="1"/>
  <c r="G102" i="53"/>
  <c r="G107" i="53" s="1"/>
  <c r="G132" i="53"/>
  <c r="G137" i="53" s="1"/>
  <c r="F108" i="52" s="1"/>
  <c r="G108" i="52" s="1"/>
  <c r="H108" i="52" s="1"/>
  <c r="G117" i="53"/>
  <c r="G122" i="53" s="1"/>
  <c r="F194" i="52" s="1"/>
  <c r="G194" i="52" s="1"/>
  <c r="H194" i="52" s="1"/>
  <c r="G154" i="53"/>
  <c r="G159" i="53" s="1"/>
  <c r="F126" i="52" s="1"/>
  <c r="G126" i="52" s="1"/>
  <c r="H126" i="52" s="1"/>
  <c r="G169" i="53"/>
  <c r="G174" i="53" s="1"/>
  <c r="G184" i="53"/>
  <c r="G189" i="53" s="1"/>
  <c r="F199" i="52" s="1"/>
  <c r="G199" i="52" s="1"/>
  <c r="H199" i="52" s="1"/>
  <c r="G199" i="53"/>
  <c r="G243" i="53"/>
  <c r="G248" i="53" s="1"/>
  <c r="G213" i="53"/>
  <c r="G218" i="53" s="1"/>
  <c r="G228" i="53"/>
  <c r="G233" i="53" s="1"/>
  <c r="G258" i="53"/>
  <c r="G273" i="53"/>
  <c r="G278" i="53" s="1"/>
  <c r="F209" i="52" s="1"/>
  <c r="G209" i="52" s="1"/>
  <c r="H209" i="52" s="1"/>
  <c r="G288" i="53"/>
  <c r="G330" i="53"/>
  <c r="G309" i="53"/>
  <c r="G393" i="53"/>
  <c r="G372" i="53"/>
  <c r="G351" i="53"/>
  <c r="G414" i="53"/>
  <c r="G435" i="53"/>
  <c r="G456" i="53"/>
  <c r="G477" i="53"/>
  <c r="G492" i="53"/>
  <c r="G513" i="53"/>
  <c r="G535" i="53"/>
  <c r="G550" i="53"/>
  <c r="F83" i="52" l="1"/>
  <c r="G83" i="52" s="1"/>
  <c r="H83" i="52" s="1"/>
  <c r="F106" i="52"/>
  <c r="G106" i="52" s="1"/>
  <c r="H106" i="52" s="1"/>
  <c r="F95" i="52"/>
  <c r="G95" i="52" s="1"/>
  <c r="H95" i="52" s="1"/>
  <c r="F156" i="52"/>
  <c r="G156" i="52" s="1"/>
  <c r="H156" i="52" s="1"/>
  <c r="F100" i="52"/>
  <c r="G100" i="52" s="1"/>
  <c r="H100" i="52" s="1"/>
  <c r="F115" i="52"/>
  <c r="G115" i="52" s="1"/>
  <c r="H115" i="52" s="1"/>
  <c r="F160" i="52"/>
  <c r="G160" i="52" s="1"/>
  <c r="H160" i="52" s="1"/>
  <c r="F88" i="52"/>
  <c r="G88" i="52" s="1"/>
  <c r="H88" i="52" s="1"/>
  <c r="F140" i="52"/>
  <c r="G140" i="52" s="1"/>
  <c r="H140" i="52" s="1"/>
  <c r="F119" i="52"/>
  <c r="G119" i="52" s="1"/>
  <c r="H119" i="52" s="1"/>
  <c r="G111" i="52"/>
  <c r="H111" i="52" s="1"/>
  <c r="G134" i="52"/>
  <c r="H134" i="52" s="1"/>
  <c r="F76" i="52"/>
  <c r="F56" i="52"/>
  <c r="F50" i="52"/>
  <c r="F57" i="52"/>
  <c r="F71" i="52"/>
  <c r="F79" i="52"/>
  <c r="F51" i="52"/>
  <c r="F60" i="52"/>
  <c r="F52" i="52"/>
  <c r="F65" i="52"/>
  <c r="G204" i="53"/>
  <c r="G62" i="53"/>
  <c r="F86" i="52" s="1"/>
  <c r="G47" i="53"/>
  <c r="F107" i="52" s="1"/>
  <c r="G107" i="52" s="1"/>
  <c r="H107" i="52" s="1"/>
  <c r="F99" i="52" l="1"/>
  <c r="G99" i="52" s="1"/>
  <c r="H99" i="52" s="1"/>
  <c r="G86" i="52"/>
  <c r="H86" i="52" s="1"/>
  <c r="F152" i="52"/>
  <c r="G152" i="52" s="1"/>
  <c r="H152" i="52" s="1"/>
  <c r="F195" i="52"/>
  <c r="G195" i="52" s="1"/>
  <c r="H195" i="52" s="1"/>
  <c r="F150" i="52"/>
  <c r="G150" i="52" s="1"/>
  <c r="H150" i="52" s="1"/>
  <c r="F84" i="52"/>
  <c r="G84" i="52" s="1"/>
  <c r="H84" i="52" s="1"/>
  <c r="F131" i="52"/>
  <c r="G131" i="52" s="1"/>
  <c r="H131" i="52" s="1"/>
  <c r="F43" i="52"/>
  <c r="F46" i="52"/>
  <c r="G594" i="53"/>
  <c r="G595" i="53" s="1"/>
  <c r="G584" i="53"/>
  <c r="G587" i="53" s="1"/>
  <c r="G596" i="53" l="1"/>
  <c r="B16" i="54"/>
  <c r="B15" i="54"/>
  <c r="B14" i="54"/>
  <c r="B13" i="54"/>
  <c r="B12" i="54"/>
  <c r="A14" i="54"/>
  <c r="A15" i="54"/>
  <c r="A16" i="54"/>
  <c r="A24" i="8"/>
  <c r="B14" i="8"/>
  <c r="B13" i="8"/>
  <c r="G985" i="53"/>
  <c r="G986" i="53" s="1"/>
  <c r="G981" i="53"/>
  <c r="G980" i="53"/>
  <c r="G970" i="53"/>
  <c r="G971" i="53" s="1"/>
  <c r="G966" i="53"/>
  <c r="G965" i="53"/>
  <c r="G955" i="53"/>
  <c r="G956" i="53" s="1"/>
  <c r="G951" i="53"/>
  <c r="D943" i="53"/>
  <c r="F935" i="53" s="1"/>
  <c r="G935" i="53" s="1"/>
  <c r="G936" i="53" s="1"/>
  <c r="G937" i="53" s="1"/>
  <c r="D862" i="53"/>
  <c r="D840" i="53"/>
  <c r="D802" i="53"/>
  <c r="D781" i="53"/>
  <c r="D737" i="53"/>
  <c r="D759" i="53"/>
  <c r="D715" i="53"/>
  <c r="D693" i="53"/>
  <c r="G570" i="53"/>
  <c r="C684" i="53" l="1"/>
  <c r="F684" i="53"/>
  <c r="G684" i="53" s="1"/>
  <c r="G685" i="53" s="1"/>
  <c r="G686" i="53" s="1"/>
  <c r="C698" i="53"/>
  <c r="C706" i="53"/>
  <c r="F706" i="53"/>
  <c r="G706" i="53" s="1"/>
  <c r="G707" i="53" s="1"/>
  <c r="G708" i="53" s="1"/>
  <c r="F728" i="53"/>
  <c r="G728" i="53" s="1"/>
  <c r="G729" i="53" s="1"/>
  <c r="G730" i="53" s="1"/>
  <c r="F96" i="52" s="1"/>
  <c r="G96" i="52" s="1"/>
  <c r="H96" i="52" s="1"/>
  <c r="C720" i="53"/>
  <c r="C96" i="52" s="1"/>
  <c r="C728" i="53"/>
  <c r="F750" i="53"/>
  <c r="G750" i="53" s="1"/>
  <c r="G751" i="53" s="1"/>
  <c r="G752" i="53" s="1"/>
  <c r="C742" i="53"/>
  <c r="C750" i="53"/>
  <c r="C764" i="53"/>
  <c r="C772" i="53"/>
  <c r="F772" i="53"/>
  <c r="G772" i="53" s="1"/>
  <c r="G773" i="53" s="1"/>
  <c r="G774" i="53" s="1"/>
  <c r="F794" i="53"/>
  <c r="G794" i="53" s="1"/>
  <c r="G795" i="53" s="1"/>
  <c r="G796" i="53" s="1"/>
  <c r="F98" i="52" s="1"/>
  <c r="G98" i="52" s="1"/>
  <c r="H98" i="52" s="1"/>
  <c r="C786" i="53"/>
  <c r="C98" i="52" s="1"/>
  <c r="C794" i="53"/>
  <c r="G816" i="53"/>
  <c r="G817" i="53" s="1"/>
  <c r="G818" i="53" s="1"/>
  <c r="F118" i="52" s="1"/>
  <c r="G118" i="52" s="1"/>
  <c r="H118" i="52" s="1"/>
  <c r="C823" i="53"/>
  <c r="C61" i="52" s="1"/>
  <c r="C831" i="53"/>
  <c r="F831" i="53"/>
  <c r="G831" i="53" s="1"/>
  <c r="G832" i="53" s="1"/>
  <c r="G833" i="53" s="1"/>
  <c r="F61" i="52" s="1"/>
  <c r="C845" i="53"/>
  <c r="C853" i="53"/>
  <c r="F853" i="53"/>
  <c r="G853" i="53" s="1"/>
  <c r="G854" i="53" s="1"/>
  <c r="G855" i="53" s="1"/>
  <c r="G875" i="53"/>
  <c r="G876" i="53" s="1"/>
  <c r="G877" i="53" s="1"/>
  <c r="G982" i="53"/>
  <c r="G987" i="53" s="1"/>
  <c r="G967" i="53"/>
  <c r="G972" i="53" s="1"/>
  <c r="G952" i="53"/>
  <c r="G957" i="53" s="1"/>
  <c r="F120" i="52" l="1"/>
  <c r="G120" i="52" s="1"/>
  <c r="H120" i="52" s="1"/>
  <c r="F49" i="52"/>
  <c r="G49" i="52" s="1"/>
  <c r="H49" i="52" s="1"/>
  <c r="C120" i="52"/>
  <c r="C49" i="52"/>
  <c r="F155" i="52"/>
  <c r="G155" i="52" s="1"/>
  <c r="H155" i="52" s="1"/>
  <c r="F137" i="52"/>
  <c r="G137" i="52" s="1"/>
  <c r="H137" i="52" s="1"/>
  <c r="F85" i="52"/>
  <c r="G85" i="52" s="1"/>
  <c r="H85" i="52" s="1"/>
  <c r="C155" i="52"/>
  <c r="C85" i="52"/>
  <c r="H103" i="52"/>
  <c r="F151" i="52"/>
  <c r="G151" i="52" s="1"/>
  <c r="H151" i="52" s="1"/>
  <c r="F132" i="52"/>
  <c r="G132" i="52" s="1"/>
  <c r="H132" i="52" s="1"/>
  <c r="C137" i="52"/>
  <c r="F45" i="52"/>
  <c r="C45" i="52"/>
  <c r="C48" i="52"/>
  <c r="F48" i="52"/>
  <c r="D562" i="53"/>
  <c r="G261" i="53"/>
  <c r="G262" i="53" s="1"/>
  <c r="G263" i="53" s="1"/>
  <c r="D503" i="53"/>
  <c r="D467" i="53"/>
  <c r="D446" i="53"/>
  <c r="D425" i="53"/>
  <c r="D404" i="53"/>
  <c r="D383" i="53"/>
  <c r="D362" i="53"/>
  <c r="C325" i="53"/>
  <c r="D341" i="53"/>
  <c r="D320" i="53"/>
  <c r="D299" i="53"/>
  <c r="F196" i="52" l="1"/>
  <c r="F47" i="52"/>
  <c r="F113" i="52"/>
  <c r="F154" i="52"/>
  <c r="F136" i="52"/>
  <c r="F53" i="52"/>
  <c r="F122" i="52"/>
  <c r="F141" i="52"/>
  <c r="F161" i="52"/>
  <c r="F173" i="52"/>
  <c r="F29" i="52"/>
  <c r="G29" i="52" s="1"/>
  <c r="H29" i="52" s="1"/>
  <c r="F133" i="52"/>
  <c r="G133" i="52" s="1"/>
  <c r="H133" i="52" s="1"/>
  <c r="F110" i="52"/>
  <c r="G110" i="52" s="1"/>
  <c r="H110" i="52" s="1"/>
  <c r="C15" i="8"/>
  <c r="C17" i="54"/>
  <c r="C66" i="52"/>
  <c r="F291" i="53"/>
  <c r="G291" i="53" s="1"/>
  <c r="G292" i="53" s="1"/>
  <c r="G293" i="53" s="1"/>
  <c r="F197" i="52" s="1"/>
  <c r="G197" i="52" s="1"/>
  <c r="H197" i="52" s="1"/>
  <c r="F312" i="53"/>
  <c r="G312" i="53" s="1"/>
  <c r="G313" i="53" s="1"/>
  <c r="G314" i="53" s="1"/>
  <c r="F58" i="52" s="1"/>
  <c r="C312" i="53"/>
  <c r="F333" i="53"/>
  <c r="G333" i="53" s="1"/>
  <c r="G334" i="53" s="1"/>
  <c r="G335" i="53" s="1"/>
  <c r="C333" i="53"/>
  <c r="F354" i="53"/>
  <c r="G354" i="53" s="1"/>
  <c r="G355" i="53" s="1"/>
  <c r="G356" i="53" s="1"/>
  <c r="F67" i="52" s="1"/>
  <c r="C346" i="53"/>
  <c r="C67" i="52" s="1"/>
  <c r="F375" i="53"/>
  <c r="G375" i="53" s="1"/>
  <c r="G376" i="53" s="1"/>
  <c r="G377" i="53" s="1"/>
  <c r="C367" i="53"/>
  <c r="C375" i="53"/>
  <c r="F396" i="53"/>
  <c r="G396" i="53" s="1"/>
  <c r="G397" i="53" s="1"/>
  <c r="G398" i="53" s="1"/>
  <c r="C388" i="53"/>
  <c r="C396" i="53"/>
  <c r="C409" i="53"/>
  <c r="C196" i="52" s="1"/>
  <c r="C417" i="53"/>
  <c r="F417" i="53"/>
  <c r="G417" i="53" s="1"/>
  <c r="G418" i="53" s="1"/>
  <c r="G196" i="52" s="1"/>
  <c r="H196" i="52" s="1"/>
  <c r="C430" i="53"/>
  <c r="C173" i="52" s="1"/>
  <c r="C438" i="53"/>
  <c r="F438" i="53"/>
  <c r="G438" i="53" s="1"/>
  <c r="G439" i="53" s="1"/>
  <c r="G173" i="52" s="1"/>
  <c r="H173" i="52" s="1"/>
  <c r="C451" i="53"/>
  <c r="C112" i="52" s="1"/>
  <c r="C459" i="53"/>
  <c r="F459" i="53"/>
  <c r="G459" i="53" s="1"/>
  <c r="G460" i="53" s="1"/>
  <c r="G461" i="53" s="1"/>
  <c r="F112" i="52" s="1"/>
  <c r="G112" i="52" s="1"/>
  <c r="H112" i="52" s="1"/>
  <c r="G480" i="53"/>
  <c r="G481" i="53" s="1"/>
  <c r="G482" i="53" s="1"/>
  <c r="F495" i="53"/>
  <c r="G495" i="53" s="1"/>
  <c r="G496" i="53" s="1"/>
  <c r="G497" i="53" s="1"/>
  <c r="F139" i="52" s="1"/>
  <c r="C487" i="53"/>
  <c r="C495" i="53"/>
  <c r="G516" i="53"/>
  <c r="G517" i="53" s="1"/>
  <c r="G525" i="53" s="1"/>
  <c r="F204" i="52" s="1"/>
  <c r="G204" i="52" s="1"/>
  <c r="H204" i="52" s="1"/>
  <c r="G538" i="53"/>
  <c r="G539" i="53" s="1"/>
  <c r="G540" i="53" s="1"/>
  <c r="F553" i="53"/>
  <c r="G553" i="53" s="1"/>
  <c r="G554" i="53" s="1"/>
  <c r="G555" i="53" s="1"/>
  <c r="C553" i="53"/>
  <c r="C545" i="53"/>
  <c r="H211" i="52" l="1"/>
  <c r="G161" i="52"/>
  <c r="H161" i="52" s="1"/>
  <c r="G122" i="52"/>
  <c r="H122" i="52" s="1"/>
  <c r="G141" i="52"/>
  <c r="H141" i="52" s="1"/>
  <c r="E17" i="54"/>
  <c r="I17" i="54"/>
  <c r="G17" i="54"/>
  <c r="C154" i="52"/>
  <c r="C136" i="52"/>
  <c r="C113" i="52"/>
  <c r="C62" i="52"/>
  <c r="C159" i="52"/>
  <c r="C87" i="52"/>
  <c r="C139" i="52"/>
  <c r="C117" i="52"/>
  <c r="C161" i="52"/>
  <c r="C141" i="52"/>
  <c r="C122" i="52"/>
  <c r="C158" i="52"/>
  <c r="C138" i="52"/>
  <c r="F163" i="52"/>
  <c r="G163" i="52" s="1"/>
  <c r="H163" i="52" s="1"/>
  <c r="F124" i="52"/>
  <c r="G124" i="52" s="1"/>
  <c r="H124" i="52" s="1"/>
  <c r="F90" i="52"/>
  <c r="G90" i="52" s="1"/>
  <c r="H90" i="52" s="1"/>
  <c r="F145" i="52"/>
  <c r="G145" i="52" s="1"/>
  <c r="H145" i="52" s="1"/>
  <c r="F162" i="52"/>
  <c r="G162" i="52" s="1"/>
  <c r="H162" i="52" s="1"/>
  <c r="F142" i="52"/>
  <c r="G142" i="52" s="1"/>
  <c r="H142" i="52" s="1"/>
  <c r="F123" i="52"/>
  <c r="G123" i="52" s="1"/>
  <c r="H123" i="52" s="1"/>
  <c r="F89" i="52"/>
  <c r="G89" i="52" s="1"/>
  <c r="H89" i="52" s="1"/>
  <c r="G139" i="52"/>
  <c r="H139" i="52" s="1"/>
  <c r="F37" i="52"/>
  <c r="G37" i="52" s="1"/>
  <c r="H37" i="52" s="1"/>
  <c r="F69" i="52"/>
  <c r="G69" i="52" s="1"/>
  <c r="H69" i="52" s="1"/>
  <c r="F153" i="52"/>
  <c r="G153" i="52" s="1"/>
  <c r="H153" i="52" s="1"/>
  <c r="F135" i="52"/>
  <c r="G135" i="52" s="1"/>
  <c r="H135" i="52" s="1"/>
  <c r="F62" i="52"/>
  <c r="F159" i="52"/>
  <c r="G159" i="52" s="1"/>
  <c r="H159" i="52" s="1"/>
  <c r="F87" i="52"/>
  <c r="G87" i="52" s="1"/>
  <c r="H87" i="52" s="1"/>
  <c r="F117" i="52"/>
  <c r="G117" i="52" s="1"/>
  <c r="H117" i="52" s="1"/>
  <c r="G154" i="52"/>
  <c r="H154" i="52" s="1"/>
  <c r="G136" i="52"/>
  <c r="H136" i="52" s="1"/>
  <c r="G113" i="52"/>
  <c r="H113" i="52" s="1"/>
  <c r="C69" i="52"/>
  <c r="C153" i="52"/>
  <c r="C135" i="52"/>
  <c r="F158" i="52"/>
  <c r="G158" i="52" s="1"/>
  <c r="H158" i="52" s="1"/>
  <c r="F138" i="52"/>
  <c r="G138" i="52" s="1"/>
  <c r="H138" i="52" s="1"/>
  <c r="F30" i="52"/>
  <c r="G30" i="52" s="1"/>
  <c r="H30" i="52" s="1"/>
  <c r="C47" i="52"/>
  <c r="F68" i="52"/>
  <c r="F54" i="52"/>
  <c r="C68" i="52"/>
  <c r="F64" i="52"/>
  <c r="F55" i="52"/>
  <c r="C64" i="52"/>
  <c r="F66" i="52"/>
  <c r="C55" i="52"/>
  <c r="C53" i="52"/>
  <c r="E3" i="53"/>
  <c r="C21" i="54" l="1"/>
  <c r="C19" i="8"/>
  <c r="H147" i="52"/>
  <c r="C17" i="8" s="1"/>
  <c r="H92" i="52"/>
  <c r="H166" i="52"/>
  <c r="D3" i="52"/>
  <c r="G23" i="53"/>
  <c r="G28" i="53"/>
  <c r="G31" i="53"/>
  <c r="B16" i="52"/>
  <c r="G29" i="53"/>
  <c r="G30" i="53"/>
  <c r="G24" i="53"/>
  <c r="G13" i="53"/>
  <c r="H5" i="52"/>
  <c r="J5" i="54"/>
  <c r="C12" i="52"/>
  <c r="G574" i="53"/>
  <c r="G575" i="53" s="1"/>
  <c r="A5" i="48"/>
  <c r="A4" i="48"/>
  <c r="A3" i="48"/>
  <c r="A2" i="48"/>
  <c r="B12" i="52"/>
  <c r="A13" i="54"/>
  <c r="A12" i="54"/>
  <c r="B2" i="54"/>
  <c r="I5" i="54"/>
  <c r="I4" i="54"/>
  <c r="B5" i="54"/>
  <c r="A5" i="54"/>
  <c r="B4" i="54"/>
  <c r="A4" i="54"/>
  <c r="B3" i="54"/>
  <c r="A3" i="54"/>
  <c r="A2" i="54"/>
  <c r="B10" i="8"/>
  <c r="A2" i="53"/>
  <c r="G14" i="53"/>
  <c r="D3" i="53"/>
  <c r="D2" i="53"/>
  <c r="B5" i="53"/>
  <c r="A5" i="53"/>
  <c r="B4" i="53"/>
  <c r="A4" i="53"/>
  <c r="B3" i="53"/>
  <c r="A3" i="53"/>
  <c r="B2" i="52"/>
  <c r="B2" i="48" s="1"/>
  <c r="G5" i="52"/>
  <c r="B5" i="52"/>
  <c r="B5" i="48" s="1"/>
  <c r="A5" i="52"/>
  <c r="G4" i="52"/>
  <c r="B4" i="48"/>
  <c r="A4" i="52"/>
  <c r="B3" i="52"/>
  <c r="B3" i="48" s="1"/>
  <c r="A3" i="52"/>
  <c r="A2" i="52"/>
  <c r="B12" i="8"/>
  <c r="B11" i="8"/>
  <c r="A11" i="8"/>
  <c r="B21" i="31"/>
  <c r="A21" i="33"/>
  <c r="A6" i="29"/>
  <c r="A7" i="29"/>
  <c r="H7" i="29"/>
  <c r="A8" i="29"/>
  <c r="B16" i="29"/>
  <c r="C16" i="29"/>
  <c r="K16" i="29" s="1"/>
  <c r="K26" i="29" s="1"/>
  <c r="AC16" i="29"/>
  <c r="B17" i="29"/>
  <c r="C17" i="29"/>
  <c r="E17" i="29"/>
  <c r="G17" i="29"/>
  <c r="I17" i="29"/>
  <c r="K17" i="29"/>
  <c r="M17" i="29"/>
  <c r="O17" i="29"/>
  <c r="Q17" i="29"/>
  <c r="S17" i="29"/>
  <c r="U17" i="29"/>
  <c r="W17" i="29"/>
  <c r="Y17" i="29"/>
  <c r="AA17" i="29"/>
  <c r="AC17" i="29"/>
  <c r="B18" i="29"/>
  <c r="AC18" i="29"/>
  <c r="B19" i="29"/>
  <c r="C19" i="29"/>
  <c r="AC19" i="29"/>
  <c r="B20" i="29"/>
  <c r="C20" i="29"/>
  <c r="I20" i="29"/>
  <c r="G20" i="29"/>
  <c r="K20" i="29"/>
  <c r="M20" i="29"/>
  <c r="O20" i="29"/>
  <c r="Q20" i="29"/>
  <c r="S20" i="29"/>
  <c r="U20" i="29"/>
  <c r="W20" i="29"/>
  <c r="AA20" i="29"/>
  <c r="AC20" i="29"/>
  <c r="B21" i="29"/>
  <c r="C21" i="29"/>
  <c r="U21" i="29"/>
  <c r="AA21" i="29"/>
  <c r="AC21" i="29"/>
  <c r="B22" i="29"/>
  <c r="C22" i="29"/>
  <c r="I22" i="29"/>
  <c r="K22" i="29"/>
  <c r="M22" i="29"/>
  <c r="O22" i="29"/>
  <c r="Q22" i="29"/>
  <c r="S22" i="29"/>
  <c r="U22" i="29"/>
  <c r="W22" i="29"/>
  <c r="AA22" i="29"/>
  <c r="AC22" i="29"/>
  <c r="B23" i="29"/>
  <c r="C23" i="29"/>
  <c r="M23" i="29" s="1"/>
  <c r="I23" i="29"/>
  <c r="G23" i="29"/>
  <c r="K23" i="29"/>
  <c r="Q23" i="29"/>
  <c r="S23" i="29"/>
  <c r="U23" i="29"/>
  <c r="W23" i="29"/>
  <c r="AA23" i="29"/>
  <c r="AC23" i="29"/>
  <c r="B24" i="29"/>
  <c r="C24" i="29"/>
  <c r="I24" i="29"/>
  <c r="G24" i="29"/>
  <c r="K24" i="29"/>
  <c r="M24" i="29"/>
  <c r="O24" i="29"/>
  <c r="Q24" i="29"/>
  <c r="S24" i="29"/>
  <c r="U24" i="29"/>
  <c r="W24" i="29"/>
  <c r="AA24" i="29"/>
  <c r="AC24" i="29"/>
  <c r="A28" i="29"/>
  <c r="A6" i="28"/>
  <c r="A7" i="28"/>
  <c r="A8" i="28"/>
  <c r="G8" i="28"/>
  <c r="K8" i="28"/>
  <c r="J13" i="28" s="1"/>
  <c r="H13" i="28"/>
  <c r="AX13" i="28"/>
  <c r="AX14" i="28"/>
  <c r="F15" i="28"/>
  <c r="J15" i="28" s="1"/>
  <c r="X15" i="28" s="1"/>
  <c r="H15" i="28"/>
  <c r="AX15" i="28"/>
  <c r="H16" i="28"/>
  <c r="P16" i="28" s="1"/>
  <c r="I16" i="28"/>
  <c r="M16" i="28"/>
  <c r="S16" i="28"/>
  <c r="V16" i="28"/>
  <c r="Y16" i="28"/>
  <c r="AB16" i="28"/>
  <c r="AE16" i="28"/>
  <c r="AH16" i="28"/>
  <c r="AK16" i="28"/>
  <c r="AN16" i="28"/>
  <c r="AQ16" i="28"/>
  <c r="AT16" i="28"/>
  <c r="AX16" i="28"/>
  <c r="AW16" i="28" s="1"/>
  <c r="H17" i="28"/>
  <c r="AX17" i="28"/>
  <c r="H18" i="28"/>
  <c r="AE18" i="28" s="1"/>
  <c r="AX18" i="28"/>
  <c r="AW18" i="28"/>
  <c r="H19" i="28"/>
  <c r="AX19" i="28"/>
  <c r="H20" i="28"/>
  <c r="S20" i="28" s="1"/>
  <c r="I20" i="28"/>
  <c r="AN20" i="28"/>
  <c r="AT20" i="28"/>
  <c r="AX20" i="28"/>
  <c r="AW20" i="28"/>
  <c r="H21" i="28"/>
  <c r="Y21" i="28"/>
  <c r="AX21" i="28"/>
  <c r="AW21" i="28"/>
  <c r="D23" i="28"/>
  <c r="C30" i="28"/>
  <c r="D32" i="28"/>
  <c r="D33" i="28"/>
  <c r="F32" i="28"/>
  <c r="D34" i="28"/>
  <c r="D36" i="28"/>
  <c r="D37" i="28"/>
  <c r="D38" i="28" s="1"/>
  <c r="I37" i="28"/>
  <c r="I38" i="28"/>
  <c r="J40" i="28"/>
  <c r="J41" i="28" s="1"/>
  <c r="D39" i="28"/>
  <c r="D48" i="28"/>
  <c r="A6" i="14"/>
  <c r="A7" i="14"/>
  <c r="H7" i="14"/>
  <c r="A8" i="14"/>
  <c r="B16" i="14"/>
  <c r="AC16" i="14"/>
  <c r="B17" i="14"/>
  <c r="AC17" i="14"/>
  <c r="A21" i="14"/>
  <c r="E5" i="19"/>
  <c r="A10" i="14" s="1"/>
  <c r="A6" i="19"/>
  <c r="A7" i="19"/>
  <c r="A8" i="19"/>
  <c r="G8" i="19"/>
  <c r="K8" i="19"/>
  <c r="B9" i="19"/>
  <c r="F13" i="19"/>
  <c r="H13" i="19"/>
  <c r="AX13" i="19"/>
  <c r="F14" i="19"/>
  <c r="H14" i="19"/>
  <c r="P14" i="19" s="1"/>
  <c r="AB14" i="19"/>
  <c r="AN14" i="19"/>
  <c r="AX14" i="19"/>
  <c r="AW14" i="19" s="1"/>
  <c r="H15" i="19"/>
  <c r="M15" i="19" s="1"/>
  <c r="I15" i="19"/>
  <c r="P15" i="19"/>
  <c r="V15" i="19"/>
  <c r="Y15" i="19"/>
  <c r="AB15" i="19"/>
  <c r="AE15" i="19"/>
  <c r="AH15" i="19"/>
  <c r="AN15" i="19"/>
  <c r="AT15" i="19"/>
  <c r="AX15" i="19"/>
  <c r="AW15" i="19" s="1"/>
  <c r="H16" i="19"/>
  <c r="I16" i="19" s="1"/>
  <c r="V16" i="19"/>
  <c r="S16" i="19"/>
  <c r="AH16" i="19"/>
  <c r="AN16" i="19"/>
  <c r="AQ16" i="19"/>
  <c r="AT16" i="19"/>
  <c r="AX16" i="19"/>
  <c r="BA16" i="19" s="1"/>
  <c r="AZ16" i="19" s="1"/>
  <c r="H17" i="19"/>
  <c r="M17" i="19"/>
  <c r="I17" i="19"/>
  <c r="P17" i="19"/>
  <c r="S17" i="19"/>
  <c r="V17" i="19"/>
  <c r="Y17" i="19"/>
  <c r="AB17" i="19"/>
  <c r="AE17" i="19"/>
  <c r="AH17" i="19"/>
  <c r="AK17" i="19"/>
  <c r="AN17" i="19"/>
  <c r="AQ17" i="19"/>
  <c r="AT17" i="19"/>
  <c r="AX17" i="19"/>
  <c r="AW17" i="19"/>
  <c r="H18" i="19"/>
  <c r="AH18" i="19"/>
  <c r="AX18" i="19"/>
  <c r="H19" i="19"/>
  <c r="I19" i="19"/>
  <c r="AX19" i="19"/>
  <c r="H20" i="19"/>
  <c r="AK20" i="19"/>
  <c r="AX20" i="19"/>
  <c r="AW20" i="19" s="1"/>
  <c r="H21" i="19"/>
  <c r="J21" i="19"/>
  <c r="V21" i="19"/>
  <c r="AX21" i="19"/>
  <c r="H22" i="19"/>
  <c r="AN22" i="19" s="1"/>
  <c r="P22" i="19"/>
  <c r="AX22" i="19"/>
  <c r="F23" i="19"/>
  <c r="J23" i="19"/>
  <c r="H23" i="19"/>
  <c r="AN23" i="19"/>
  <c r="AB23" i="19"/>
  <c r="V23" i="19"/>
  <c r="AX23" i="19"/>
  <c r="F24" i="19"/>
  <c r="J24" i="19" s="1"/>
  <c r="H24" i="19"/>
  <c r="AB24" i="19"/>
  <c r="AX24" i="19"/>
  <c r="AW24" i="19" s="1"/>
  <c r="F25" i="19"/>
  <c r="J25" i="19"/>
  <c r="H25" i="19"/>
  <c r="V25" i="19" s="1"/>
  <c r="AX25" i="19"/>
  <c r="AW25" i="19"/>
  <c r="F26" i="19"/>
  <c r="J26" i="19" s="1"/>
  <c r="H26" i="19"/>
  <c r="I26" i="19"/>
  <c r="M26" i="19"/>
  <c r="V26" i="19"/>
  <c r="AB26" i="19"/>
  <c r="AK26" i="19"/>
  <c r="AT26" i="19"/>
  <c r="AX26" i="19"/>
  <c r="AW26" i="19" s="1"/>
  <c r="F27" i="19"/>
  <c r="J27" i="19" s="1"/>
  <c r="H27" i="19"/>
  <c r="S27" i="19"/>
  <c r="P27" i="19"/>
  <c r="AB27" i="19"/>
  <c r="AN27" i="19"/>
  <c r="AX27" i="19"/>
  <c r="AW27" i="19"/>
  <c r="H28" i="19"/>
  <c r="P28" i="19"/>
  <c r="AX28" i="19"/>
  <c r="AW28" i="19"/>
  <c r="H29" i="19"/>
  <c r="P29" i="19" s="1"/>
  <c r="J29" i="19"/>
  <c r="O29" i="19" s="1"/>
  <c r="AD29" i="19"/>
  <c r="AJ29" i="19"/>
  <c r="AS29" i="19"/>
  <c r="AX29" i="19"/>
  <c r="F30" i="19"/>
  <c r="J30" i="19" s="1"/>
  <c r="R30" i="19" s="1"/>
  <c r="H30" i="19"/>
  <c r="AQ30" i="19" s="1"/>
  <c r="I30" i="19"/>
  <c r="AX30" i="19"/>
  <c r="BA30" i="19" s="1"/>
  <c r="BB30" i="19"/>
  <c r="H31" i="19"/>
  <c r="I31" i="19"/>
  <c r="S31" i="19"/>
  <c r="V31" i="19"/>
  <c r="Y31" i="19"/>
  <c r="AB31" i="19"/>
  <c r="AQ31" i="19"/>
  <c r="AT31" i="19"/>
  <c r="AX31" i="19"/>
  <c r="F32" i="19"/>
  <c r="J32" i="19" s="1"/>
  <c r="H32" i="19"/>
  <c r="I32" i="19"/>
  <c r="AG32" i="19"/>
  <c r="S32" i="19"/>
  <c r="AQ32" i="19"/>
  <c r="AX32" i="19"/>
  <c r="H33" i="19"/>
  <c r="I33" i="19" s="1"/>
  <c r="J33" i="19"/>
  <c r="O33" i="19"/>
  <c r="AM33" i="19"/>
  <c r="AX33" i="19"/>
  <c r="F34" i="19"/>
  <c r="J34" i="19"/>
  <c r="H34" i="19"/>
  <c r="I34" i="19"/>
  <c r="AX34" i="19"/>
  <c r="F35" i="19"/>
  <c r="J35" i="19"/>
  <c r="AM35" i="19"/>
  <c r="H35" i="19"/>
  <c r="I35" i="19" s="1"/>
  <c r="V35" i="19"/>
  <c r="M35" i="19"/>
  <c r="Y35" i="19"/>
  <c r="AB35" i="19"/>
  <c r="AK35" i="19"/>
  <c r="AN35" i="19"/>
  <c r="AX35" i="19"/>
  <c r="H36" i="19"/>
  <c r="AX36" i="19"/>
  <c r="H37" i="19"/>
  <c r="J37" i="19"/>
  <c r="AA37" i="19"/>
  <c r="U37" i="19"/>
  <c r="Y37" i="19"/>
  <c r="AN37" i="19"/>
  <c r="AQ37" i="19"/>
  <c r="AX37" i="19"/>
  <c r="AW37" i="19"/>
  <c r="H38" i="19"/>
  <c r="Y38" i="19" s="1"/>
  <c r="J38" i="19"/>
  <c r="AK38" i="19"/>
  <c r="AX38" i="19"/>
  <c r="AW38" i="19"/>
  <c r="F39" i="19"/>
  <c r="J39" i="19" s="1"/>
  <c r="H39" i="19"/>
  <c r="AE39" i="19"/>
  <c r="AX39" i="19"/>
  <c r="H40" i="19"/>
  <c r="P40" i="19" s="1"/>
  <c r="J40" i="19"/>
  <c r="AN40" i="19"/>
  <c r="AX40" i="19"/>
  <c r="BA40" i="19"/>
  <c r="AZ40" i="19"/>
  <c r="H41" i="19"/>
  <c r="J41" i="19"/>
  <c r="AS41" i="19" s="1"/>
  <c r="U41" i="19"/>
  <c r="AB41" i="19"/>
  <c r="AG41" i="19"/>
  <c r="AX41" i="19"/>
  <c r="AW41" i="19" s="1"/>
  <c r="H42" i="19"/>
  <c r="M42" i="19" s="1"/>
  <c r="AX42" i="19"/>
  <c r="F43" i="19"/>
  <c r="H43" i="19"/>
  <c r="Y43" i="19" s="1"/>
  <c r="J43" i="19"/>
  <c r="AG43" i="19" s="1"/>
  <c r="AX43" i="19"/>
  <c r="H44" i="19"/>
  <c r="I44" i="19"/>
  <c r="P44" i="19"/>
  <c r="AB44" i="19"/>
  <c r="AN44" i="19"/>
  <c r="AX44" i="19"/>
  <c r="H45" i="19"/>
  <c r="M45" i="19" s="1"/>
  <c r="I45" i="19"/>
  <c r="J45" i="19"/>
  <c r="U45" i="19" s="1"/>
  <c r="P45" i="19"/>
  <c r="AB45" i="19"/>
  <c r="AE45" i="19"/>
  <c r="AK45" i="19"/>
  <c r="AN45" i="19"/>
  <c r="AT45" i="19"/>
  <c r="AX45" i="19"/>
  <c r="AW45" i="19"/>
  <c r="H46" i="19"/>
  <c r="I46" i="19"/>
  <c r="V46" i="19"/>
  <c r="J46" i="19"/>
  <c r="P46" i="19"/>
  <c r="AB46" i="19"/>
  <c r="AE46" i="19"/>
  <c r="AN46" i="19"/>
  <c r="AQ46" i="19"/>
  <c r="AS46" i="19"/>
  <c r="AX46" i="19"/>
  <c r="AW46" i="19" s="1"/>
  <c r="BA46" i="19"/>
  <c r="AZ46" i="19" s="1"/>
  <c r="H47" i="19"/>
  <c r="AK47" i="19" s="1"/>
  <c r="J47" i="19"/>
  <c r="R47" i="19" s="1"/>
  <c r="M47" i="19"/>
  <c r="P47" i="19"/>
  <c r="V47" i="19"/>
  <c r="AB47" i="19"/>
  <c r="AE47" i="19"/>
  <c r="AH47" i="19"/>
  <c r="AX47" i="19"/>
  <c r="BA47" i="19" s="1"/>
  <c r="F48" i="19"/>
  <c r="J48" i="19" s="1"/>
  <c r="H48" i="19"/>
  <c r="AN48" i="19" s="1"/>
  <c r="V48" i="19"/>
  <c r="P48" i="19"/>
  <c r="AB48" i="19"/>
  <c r="AX48" i="19"/>
  <c r="AW48" i="19"/>
  <c r="F49" i="19"/>
  <c r="J49" i="19"/>
  <c r="AY49" i="19" s="1"/>
  <c r="H49" i="19"/>
  <c r="P49" i="19" s="1"/>
  <c r="M49" i="19"/>
  <c r="V49" i="19"/>
  <c r="AE49" i="19"/>
  <c r="AH49" i="19"/>
  <c r="AK49" i="19"/>
  <c r="AT49" i="19"/>
  <c r="AX49" i="19"/>
  <c r="F50" i="19"/>
  <c r="J50" i="19"/>
  <c r="AG50" i="19" s="1"/>
  <c r="H50" i="19"/>
  <c r="V50" i="19"/>
  <c r="AX50" i="19"/>
  <c r="AW50" i="19" s="1"/>
  <c r="F51" i="19"/>
  <c r="J51" i="19" s="1"/>
  <c r="AM51" i="19"/>
  <c r="H51" i="19"/>
  <c r="S51" i="19" s="1"/>
  <c r="P51" i="19"/>
  <c r="I51" i="19"/>
  <c r="M51" i="19"/>
  <c r="V51" i="19"/>
  <c r="Y51" i="19"/>
  <c r="AE51" i="19"/>
  <c r="AH51" i="19"/>
  <c r="AK51" i="19"/>
  <c r="AN51" i="19"/>
  <c r="AQ51" i="19"/>
  <c r="AT51" i="19"/>
  <c r="AX51" i="19"/>
  <c r="H52" i="19"/>
  <c r="J52" i="19"/>
  <c r="K52" i="19"/>
  <c r="U52" i="19"/>
  <c r="X52" i="19"/>
  <c r="AT52" i="19"/>
  <c r="AX52" i="19"/>
  <c r="H53" i="19"/>
  <c r="Y53" i="19"/>
  <c r="I53" i="19"/>
  <c r="AH53" i="19"/>
  <c r="AK53" i="19"/>
  <c r="AQ53" i="19"/>
  <c r="AX53" i="19"/>
  <c r="F54" i="19"/>
  <c r="J54" i="19" s="1"/>
  <c r="H54" i="19"/>
  <c r="I54" i="19"/>
  <c r="M54" i="19"/>
  <c r="S54" i="19"/>
  <c r="V54" i="19"/>
  <c r="AB54" i="19"/>
  <c r="AE54" i="19"/>
  <c r="AH54" i="19"/>
  <c r="AK54" i="19"/>
  <c r="AQ54" i="19"/>
  <c r="AX54" i="19"/>
  <c r="BA54" i="19" s="1"/>
  <c r="AZ54" i="19" s="1"/>
  <c r="AW54" i="19"/>
  <c r="F55" i="19"/>
  <c r="J55" i="19" s="1"/>
  <c r="H55" i="19"/>
  <c r="I55" i="19" s="1"/>
  <c r="AD55" i="19"/>
  <c r="AX55" i="19"/>
  <c r="F56" i="19"/>
  <c r="J56" i="19"/>
  <c r="H56" i="19"/>
  <c r="AB56" i="19" s="1"/>
  <c r="AX56" i="19"/>
  <c r="F57" i="19"/>
  <c r="J57" i="19" s="1"/>
  <c r="H57" i="19"/>
  <c r="AQ57" i="19" s="1"/>
  <c r="AX57" i="19"/>
  <c r="AW57" i="19" s="1"/>
  <c r="F58" i="19"/>
  <c r="J58" i="19" s="1"/>
  <c r="X58" i="19" s="1"/>
  <c r="H58" i="19"/>
  <c r="AX58" i="19"/>
  <c r="G59" i="19"/>
  <c r="H59" i="19" s="1"/>
  <c r="J59" i="19"/>
  <c r="U59" i="19" s="1"/>
  <c r="AX59" i="19"/>
  <c r="AW59" i="19" s="1"/>
  <c r="F60" i="19"/>
  <c r="J60" i="19" s="1"/>
  <c r="H60" i="19"/>
  <c r="AT60" i="19" s="1"/>
  <c r="AX60" i="19"/>
  <c r="F61" i="19"/>
  <c r="J61" i="19" s="1"/>
  <c r="H61" i="19"/>
  <c r="I61" i="19"/>
  <c r="U61" i="19"/>
  <c r="AE61" i="19"/>
  <c r="AQ61" i="19"/>
  <c r="AX61" i="19"/>
  <c r="AW61" i="19" s="1"/>
  <c r="F62" i="19"/>
  <c r="J62" i="19"/>
  <c r="H62" i="19"/>
  <c r="P62" i="19"/>
  <c r="M62" i="19"/>
  <c r="V62" i="19"/>
  <c r="AH62" i="19"/>
  <c r="AK62" i="19"/>
  <c r="AX62" i="19"/>
  <c r="AY62" i="19"/>
  <c r="F63" i="19"/>
  <c r="H63" i="19"/>
  <c r="V63" i="19"/>
  <c r="AX63" i="19"/>
  <c r="F64" i="19"/>
  <c r="H64" i="19"/>
  <c r="J64" i="19"/>
  <c r="M64" i="19"/>
  <c r="V64" i="19"/>
  <c r="Y64" i="19"/>
  <c r="AX64" i="19"/>
  <c r="H65" i="19"/>
  <c r="J65" i="19"/>
  <c r="U65" i="19" s="1"/>
  <c r="AX65" i="19"/>
  <c r="F66" i="19"/>
  <c r="J66" i="19"/>
  <c r="H66" i="19"/>
  <c r="M66" i="19" s="1"/>
  <c r="V66" i="19"/>
  <c r="AB66" i="19"/>
  <c r="AE66" i="19"/>
  <c r="AH66" i="19"/>
  <c r="AQ66" i="19"/>
  <c r="AX66" i="19"/>
  <c r="F67" i="19"/>
  <c r="H67" i="19"/>
  <c r="I67" i="19"/>
  <c r="J67" i="19"/>
  <c r="K67" i="19"/>
  <c r="P67" i="19"/>
  <c r="AN67" i="19"/>
  <c r="AT67" i="19"/>
  <c r="AX67" i="19"/>
  <c r="AW67" i="19"/>
  <c r="H68" i="19"/>
  <c r="AB68" i="19" s="1"/>
  <c r="J68" i="19"/>
  <c r="O68" i="19" s="1"/>
  <c r="M68" i="19"/>
  <c r="P68" i="19"/>
  <c r="R68" i="19"/>
  <c r="U68" i="19"/>
  <c r="X68" i="19"/>
  <c r="Y68" i="19"/>
  <c r="AA68" i="19"/>
  <c r="AD68" i="19"/>
  <c r="AG68" i="19"/>
  <c r="AJ68" i="19"/>
  <c r="AM68" i="19"/>
  <c r="AN68" i="19"/>
  <c r="AP68" i="19"/>
  <c r="AS68" i="19"/>
  <c r="AX68" i="19"/>
  <c r="AW68" i="19" s="1"/>
  <c r="F69" i="19"/>
  <c r="J69" i="19" s="1"/>
  <c r="H69" i="19"/>
  <c r="I69" i="19" s="1"/>
  <c r="V69" i="19"/>
  <c r="AE69" i="19"/>
  <c r="AH69" i="19"/>
  <c r="AQ69" i="19"/>
  <c r="AT69" i="19"/>
  <c r="AX69" i="19"/>
  <c r="AW69" i="19" s="1"/>
  <c r="F70" i="19"/>
  <c r="J70" i="19"/>
  <c r="X70" i="19"/>
  <c r="H70" i="19"/>
  <c r="AB70" i="19" s="1"/>
  <c r="R70" i="19"/>
  <c r="AX70" i="19"/>
  <c r="F71" i="19"/>
  <c r="H71" i="19"/>
  <c r="V71" i="19"/>
  <c r="J71" i="19"/>
  <c r="AD71" i="19"/>
  <c r="AX71" i="19"/>
  <c r="F72" i="19"/>
  <c r="J72" i="19" s="1"/>
  <c r="O72" i="19"/>
  <c r="H72" i="19"/>
  <c r="AK72" i="19" s="1"/>
  <c r="Y72" i="19"/>
  <c r="AX72" i="19"/>
  <c r="F73" i="19"/>
  <c r="J73" i="19"/>
  <c r="H73" i="19"/>
  <c r="AQ73" i="19" s="1"/>
  <c r="I73" i="19"/>
  <c r="AE73" i="19"/>
  <c r="AX73" i="19"/>
  <c r="F74" i="19"/>
  <c r="J74" i="19" s="1"/>
  <c r="H74" i="19"/>
  <c r="AN74" i="19" s="1"/>
  <c r="M74" i="19"/>
  <c r="Y74" i="19"/>
  <c r="AB74" i="19"/>
  <c r="AX74" i="19"/>
  <c r="F75" i="19"/>
  <c r="H75" i="19"/>
  <c r="S75" i="19" s="1"/>
  <c r="AQ75" i="19"/>
  <c r="J75" i="19"/>
  <c r="K75" i="19" s="1"/>
  <c r="AX75" i="19"/>
  <c r="F76" i="19"/>
  <c r="J76" i="19" s="1"/>
  <c r="H76" i="19"/>
  <c r="Y76" i="19" s="1"/>
  <c r="AX76" i="19"/>
  <c r="F77" i="19"/>
  <c r="H77" i="19"/>
  <c r="S77" i="19"/>
  <c r="I77" i="19"/>
  <c r="J77" i="19"/>
  <c r="K77" i="19"/>
  <c r="O77" i="19"/>
  <c r="AA77" i="19"/>
  <c r="AE77" i="19"/>
  <c r="AG77" i="19"/>
  <c r="AJ77" i="19"/>
  <c r="AP77" i="19"/>
  <c r="AQ77" i="19"/>
  <c r="AX77" i="19"/>
  <c r="BA77" i="19"/>
  <c r="BB77" i="19"/>
  <c r="F78" i="19"/>
  <c r="J78" i="19" s="1"/>
  <c r="H78" i="19"/>
  <c r="M78" i="19" s="1"/>
  <c r="Y78" i="19"/>
  <c r="AK78" i="19"/>
  <c r="AX78" i="19"/>
  <c r="AY78" i="19" s="1"/>
  <c r="F79" i="19"/>
  <c r="J79" i="19" s="1"/>
  <c r="H79" i="19"/>
  <c r="AX79" i="19"/>
  <c r="F80" i="19"/>
  <c r="J80" i="19" s="1"/>
  <c r="AG80" i="19" s="1"/>
  <c r="H80" i="19"/>
  <c r="M80" i="19" s="1"/>
  <c r="AX80" i="19"/>
  <c r="AY80" i="19"/>
  <c r="F83" i="19"/>
  <c r="J83" i="19" s="1"/>
  <c r="K83" i="19" s="1"/>
  <c r="H83" i="19"/>
  <c r="AX83" i="19"/>
  <c r="BA83" i="19"/>
  <c r="F84" i="19"/>
  <c r="J84" i="19" s="1"/>
  <c r="H84" i="19"/>
  <c r="AX84" i="19"/>
  <c r="F85" i="19"/>
  <c r="J85" i="19"/>
  <c r="H85" i="19"/>
  <c r="AX85" i="19"/>
  <c r="F86" i="19"/>
  <c r="J86" i="19" s="1"/>
  <c r="H86" i="19"/>
  <c r="M86" i="19"/>
  <c r="Y86" i="19"/>
  <c r="AX86" i="19"/>
  <c r="AY86" i="19" s="1"/>
  <c r="AW86" i="19"/>
  <c r="F87" i="19"/>
  <c r="H87" i="19"/>
  <c r="I87" i="19" s="1"/>
  <c r="J87" i="19"/>
  <c r="AM87" i="19" s="1"/>
  <c r="AE87" i="19"/>
  <c r="AQ87" i="19"/>
  <c r="AX87" i="19"/>
  <c r="F88" i="19"/>
  <c r="H88" i="19"/>
  <c r="M88" i="19" s="1"/>
  <c r="J88" i="19"/>
  <c r="Y88" i="19"/>
  <c r="AA88" i="19"/>
  <c r="AX88" i="19"/>
  <c r="AY88" i="19"/>
  <c r="F89" i="19"/>
  <c r="H89" i="19"/>
  <c r="AE89" i="19" s="1"/>
  <c r="I89" i="19"/>
  <c r="J89" i="19"/>
  <c r="AV89" i="19" s="1"/>
  <c r="K89" i="19"/>
  <c r="S89" i="19"/>
  <c r="AD89" i="19"/>
  <c r="AQ89" i="19"/>
  <c r="AX89" i="19"/>
  <c r="BA89" i="19"/>
  <c r="AZ89" i="19"/>
  <c r="F90" i="19"/>
  <c r="J90" i="19" s="1"/>
  <c r="AA90" i="19" s="1"/>
  <c r="H90" i="19"/>
  <c r="M90" i="19"/>
  <c r="AV90" i="19"/>
  <c r="AX90" i="19"/>
  <c r="F91" i="19"/>
  <c r="J91" i="19"/>
  <c r="AS91" i="19" s="1"/>
  <c r="H91" i="19"/>
  <c r="AE91" i="19" s="1"/>
  <c r="AX91" i="19"/>
  <c r="F92" i="19"/>
  <c r="J92" i="19" s="1"/>
  <c r="AJ92" i="19" s="1"/>
  <c r="H92" i="19"/>
  <c r="S92" i="19" s="1"/>
  <c r="P92" i="19"/>
  <c r="AX92" i="19"/>
  <c r="BA92" i="19"/>
  <c r="F93" i="19"/>
  <c r="J93" i="19"/>
  <c r="AS93" i="19" s="1"/>
  <c r="H93" i="19"/>
  <c r="V93" i="19" s="1"/>
  <c r="AX93" i="19"/>
  <c r="F94" i="19"/>
  <c r="H94" i="19"/>
  <c r="AE94" i="19" s="1"/>
  <c r="J94" i="19"/>
  <c r="O94" i="19"/>
  <c r="AJ94" i="19"/>
  <c r="AK94" i="19"/>
  <c r="AX94" i="19"/>
  <c r="AY94" i="19" s="1"/>
  <c r="F95" i="19"/>
  <c r="H95" i="19"/>
  <c r="V95" i="19" s="1"/>
  <c r="J95" i="19"/>
  <c r="AM95" i="19" s="1"/>
  <c r="K95" i="19"/>
  <c r="R95" i="19"/>
  <c r="U95" i="19"/>
  <c r="AX95" i="19"/>
  <c r="AW95" i="19" s="1"/>
  <c r="F96" i="19"/>
  <c r="H96" i="19"/>
  <c r="P96" i="19"/>
  <c r="I96" i="19"/>
  <c r="J96" i="19"/>
  <c r="U96" i="19"/>
  <c r="V96" i="19"/>
  <c r="AE96" i="19"/>
  <c r="AT96" i="19"/>
  <c r="AX96" i="19"/>
  <c r="BA96" i="19" s="1"/>
  <c r="AZ96" i="19" s="1"/>
  <c r="F97" i="19"/>
  <c r="J97" i="19" s="1"/>
  <c r="H97" i="19"/>
  <c r="V97" i="19" s="1"/>
  <c r="AX97" i="19"/>
  <c r="AW97" i="19" s="1"/>
  <c r="F98" i="19"/>
  <c r="J98" i="19" s="1"/>
  <c r="H98" i="19"/>
  <c r="P98" i="19" s="1"/>
  <c r="M98" i="19"/>
  <c r="S98" i="19"/>
  <c r="V98" i="19"/>
  <c r="AQ98" i="19"/>
  <c r="AT98" i="19"/>
  <c r="AX98" i="19"/>
  <c r="BA98" i="19" s="1"/>
  <c r="AZ98" i="19" s="1"/>
  <c r="F99" i="19"/>
  <c r="J99" i="19" s="1"/>
  <c r="H99" i="19"/>
  <c r="V99" i="19"/>
  <c r="K99" i="19"/>
  <c r="O99" i="19"/>
  <c r="AA99" i="19"/>
  <c r="AD99" i="19"/>
  <c r="AX99" i="19"/>
  <c r="F100" i="19"/>
  <c r="H100" i="19"/>
  <c r="AH100" i="19" s="1"/>
  <c r="J100" i="19"/>
  <c r="X100" i="19" s="1"/>
  <c r="AX100" i="19"/>
  <c r="F101" i="19"/>
  <c r="J101" i="19" s="1"/>
  <c r="H101" i="19"/>
  <c r="K101" i="19"/>
  <c r="O101" i="19"/>
  <c r="R101" i="19"/>
  <c r="AA101" i="19"/>
  <c r="AD101" i="19"/>
  <c r="AX101" i="19"/>
  <c r="F102" i="19"/>
  <c r="H102" i="19"/>
  <c r="J102" i="19"/>
  <c r="AX102" i="19"/>
  <c r="F103" i="19"/>
  <c r="J103" i="19" s="1"/>
  <c r="O103" i="19" s="1"/>
  <c r="H103" i="19"/>
  <c r="AX103" i="19"/>
  <c r="F104" i="19"/>
  <c r="J104" i="19"/>
  <c r="H104" i="19"/>
  <c r="AX104" i="19"/>
  <c r="F105" i="19"/>
  <c r="J105" i="19"/>
  <c r="H105" i="19"/>
  <c r="M105" i="19"/>
  <c r="AX105" i="19"/>
  <c r="F106" i="19"/>
  <c r="H106" i="19"/>
  <c r="AT106" i="19" s="1"/>
  <c r="J106" i="19"/>
  <c r="X106" i="19" s="1"/>
  <c r="AX106" i="19"/>
  <c r="H107" i="19"/>
  <c r="J107" i="19"/>
  <c r="AX107" i="19"/>
  <c r="F108" i="19"/>
  <c r="J108" i="19"/>
  <c r="H108" i="19"/>
  <c r="I108" i="19"/>
  <c r="M108" i="19"/>
  <c r="P108" i="19"/>
  <c r="AB108" i="19"/>
  <c r="AE108" i="19"/>
  <c r="AK108" i="19"/>
  <c r="AN108" i="19"/>
  <c r="AX108" i="19"/>
  <c r="AW108" i="19"/>
  <c r="F109" i="19"/>
  <c r="J109" i="19" s="1"/>
  <c r="H109" i="19"/>
  <c r="P109" i="19"/>
  <c r="S109" i="19"/>
  <c r="V109" i="19"/>
  <c r="Y109" i="19"/>
  <c r="AB109" i="19"/>
  <c r="AN109" i="19"/>
  <c r="AQ109" i="19"/>
  <c r="AT109" i="19"/>
  <c r="AX109" i="19"/>
  <c r="F110" i="19"/>
  <c r="J110" i="19"/>
  <c r="H110" i="19"/>
  <c r="P110" i="19" s="1"/>
  <c r="AX110" i="19"/>
  <c r="AW110" i="19" s="1"/>
  <c r="F111" i="19"/>
  <c r="J111" i="19" s="1"/>
  <c r="AY111" i="19" s="1"/>
  <c r="H111" i="19"/>
  <c r="AN111" i="19" s="1"/>
  <c r="AB111" i="19"/>
  <c r="AX111" i="19"/>
  <c r="F112" i="19"/>
  <c r="J112" i="19" s="1"/>
  <c r="O112" i="19" s="1"/>
  <c r="H112" i="19"/>
  <c r="I112" i="19" s="1"/>
  <c r="S112" i="19"/>
  <c r="V112" i="19"/>
  <c r="AE112" i="19"/>
  <c r="AH112" i="19"/>
  <c r="AX112" i="19"/>
  <c r="F113" i="19"/>
  <c r="J113" i="19" s="1"/>
  <c r="H113" i="19"/>
  <c r="Y113" i="19" s="1"/>
  <c r="AX113" i="19"/>
  <c r="F114" i="19"/>
  <c r="H114" i="19"/>
  <c r="AN114" i="19" s="1"/>
  <c r="I114" i="19"/>
  <c r="J114" i="19"/>
  <c r="K114" i="19" s="1"/>
  <c r="AE114" i="19"/>
  <c r="AX114" i="19"/>
  <c r="AW114" i="19" s="1"/>
  <c r="F115" i="19"/>
  <c r="J115" i="19" s="1"/>
  <c r="H115" i="19"/>
  <c r="AK115" i="19" s="1"/>
  <c r="AE115" i="19"/>
  <c r="AX115" i="19"/>
  <c r="AW115" i="19" s="1"/>
  <c r="BA115" i="19"/>
  <c r="F116" i="19"/>
  <c r="H116" i="19"/>
  <c r="I116" i="19"/>
  <c r="J116" i="19"/>
  <c r="AG116" i="19" s="1"/>
  <c r="AE116" i="19"/>
  <c r="AN116" i="19"/>
  <c r="AX116" i="19"/>
  <c r="AW116" i="19" s="1"/>
  <c r="F117" i="19"/>
  <c r="J117" i="19"/>
  <c r="AY117" i="19" s="1"/>
  <c r="H117" i="19"/>
  <c r="I117" i="19" s="1"/>
  <c r="V117" i="19"/>
  <c r="Y117" i="19"/>
  <c r="AB117" i="19"/>
  <c r="AH117" i="19"/>
  <c r="AQ117" i="19"/>
  <c r="AT117" i="19"/>
  <c r="AX117" i="19"/>
  <c r="AW117" i="19" s="1"/>
  <c r="F118" i="19"/>
  <c r="J118" i="19" s="1"/>
  <c r="K118" i="19" s="1"/>
  <c r="H118" i="19"/>
  <c r="I118" i="19"/>
  <c r="M118" i="19"/>
  <c r="P118" i="19"/>
  <c r="S118" i="19"/>
  <c r="V118" i="19"/>
  <c r="AE118" i="19"/>
  <c r="AH118" i="19"/>
  <c r="AK118" i="19"/>
  <c r="AN118" i="19"/>
  <c r="AQ118" i="19"/>
  <c r="AT118" i="19"/>
  <c r="AX118" i="19"/>
  <c r="AW118" i="19" s="1"/>
  <c r="F119" i="19"/>
  <c r="J119" i="19"/>
  <c r="H119" i="19"/>
  <c r="AQ119" i="19" s="1"/>
  <c r="I119" i="19"/>
  <c r="S119" i="19"/>
  <c r="AE119" i="19"/>
  <c r="AX119" i="19"/>
  <c r="BA119" i="19" s="1"/>
  <c r="F120" i="19"/>
  <c r="J120" i="19"/>
  <c r="K120" i="19" s="1"/>
  <c r="H120" i="19"/>
  <c r="I120" i="19" s="1"/>
  <c r="AX120" i="19"/>
  <c r="F121" i="19"/>
  <c r="J121" i="19" s="1"/>
  <c r="H121" i="19"/>
  <c r="AX121" i="19"/>
  <c r="BA121" i="19"/>
  <c r="F122" i="19"/>
  <c r="J122" i="19"/>
  <c r="K122" i="19" s="1"/>
  <c r="H122" i="19"/>
  <c r="AB122" i="19" s="1"/>
  <c r="AX122" i="19"/>
  <c r="AY122" i="19" s="1"/>
  <c r="F123" i="19"/>
  <c r="J123" i="19" s="1"/>
  <c r="K123" i="19" s="1"/>
  <c r="H123" i="19"/>
  <c r="M123" i="19" s="1"/>
  <c r="V123" i="19"/>
  <c r="AB123" i="19"/>
  <c r="AH123" i="19"/>
  <c r="AN123" i="19"/>
  <c r="AT123" i="19"/>
  <c r="AX123" i="19"/>
  <c r="AW123" i="19" s="1"/>
  <c r="F124" i="19"/>
  <c r="J124" i="19"/>
  <c r="K124" i="19"/>
  <c r="H124" i="19"/>
  <c r="AX124" i="19"/>
  <c r="AY124" i="19"/>
  <c r="F125" i="19"/>
  <c r="J125" i="19"/>
  <c r="K125" i="19" s="1"/>
  <c r="H125" i="19"/>
  <c r="AX125" i="19"/>
  <c r="D127" i="19"/>
  <c r="M4" i="47"/>
  <c r="E5" i="47"/>
  <c r="A6" i="47"/>
  <c r="A7" i="47"/>
  <c r="A8" i="47"/>
  <c r="K8" i="47"/>
  <c r="J13" i="47"/>
  <c r="K13" i="47" s="1"/>
  <c r="H13" i="47"/>
  <c r="S13" i="47"/>
  <c r="I13" i="47"/>
  <c r="M13" i="47"/>
  <c r="P13" i="47"/>
  <c r="V13" i="47"/>
  <c r="Y13" i="47"/>
  <c r="AE13" i="47"/>
  <c r="AH13" i="47"/>
  <c r="AJ13" i="47"/>
  <c r="AN13" i="47"/>
  <c r="AQ13" i="47"/>
  <c r="AT13" i="47"/>
  <c r="AX13" i="47"/>
  <c r="AW13" i="47" s="1"/>
  <c r="AY13" i="47"/>
  <c r="H14" i="47"/>
  <c r="S14" i="47"/>
  <c r="J14" i="47"/>
  <c r="M14" i="47"/>
  <c r="AQ14" i="47"/>
  <c r="AX14" i="47"/>
  <c r="G15" i="47"/>
  <c r="J15" i="47"/>
  <c r="AX15" i="47"/>
  <c r="H16" i="47"/>
  <c r="I16" i="47"/>
  <c r="J16" i="47"/>
  <c r="AX16" i="47"/>
  <c r="H17" i="47"/>
  <c r="I17" i="47"/>
  <c r="J17" i="47"/>
  <c r="AG17" i="47" s="1"/>
  <c r="P17" i="47"/>
  <c r="V17" i="47"/>
  <c r="Y17" i="47"/>
  <c r="AB17" i="47"/>
  <c r="AH17" i="47"/>
  <c r="AN17" i="47"/>
  <c r="AT17" i="47"/>
  <c r="AX17" i="47"/>
  <c r="AW17" i="47" s="1"/>
  <c r="H18" i="47"/>
  <c r="AQ18" i="47"/>
  <c r="J18" i="47"/>
  <c r="R18" i="47" s="1"/>
  <c r="V18" i="47"/>
  <c r="AA18" i="47"/>
  <c r="AB18" i="47"/>
  <c r="AX18" i="47"/>
  <c r="H19" i="47"/>
  <c r="M19" i="47"/>
  <c r="J19" i="47"/>
  <c r="AJ19" i="47" s="1"/>
  <c r="K19" i="47"/>
  <c r="U19" i="47"/>
  <c r="V19" i="47"/>
  <c r="X19" i="47"/>
  <c r="AB19" i="47"/>
  <c r="AD19" i="47"/>
  <c r="AP19" i="47"/>
  <c r="AQ19" i="47"/>
  <c r="AS19" i="47"/>
  <c r="AT19" i="47"/>
  <c r="AV19" i="47"/>
  <c r="AX19" i="47"/>
  <c r="J20" i="47"/>
  <c r="U20" i="47" s="1"/>
  <c r="AX20" i="47"/>
  <c r="AY20" i="47"/>
  <c r="G21" i="47"/>
  <c r="H21" i="47" s="1"/>
  <c r="I21" i="47" s="1"/>
  <c r="AX21" i="47"/>
  <c r="H22" i="47"/>
  <c r="J22" i="47"/>
  <c r="AA22" i="47" s="1"/>
  <c r="AX22" i="47"/>
  <c r="G23" i="47"/>
  <c r="H23" i="47"/>
  <c r="P23" i="47"/>
  <c r="J23" i="47"/>
  <c r="AD23" i="47" s="1"/>
  <c r="R23" i="47"/>
  <c r="X23" i="47"/>
  <c r="AJ23" i="47"/>
  <c r="AP23" i="47"/>
  <c r="AS23" i="47"/>
  <c r="AX23" i="47"/>
  <c r="D24" i="47"/>
  <c r="E24" i="47"/>
  <c r="F24" i="47"/>
  <c r="J24" i="47" s="1"/>
  <c r="H24" i="47"/>
  <c r="AH24" i="47" s="1"/>
  <c r="I24" i="47"/>
  <c r="AB24" i="47"/>
  <c r="M24" i="47"/>
  <c r="V24" i="47"/>
  <c r="AT24" i="47"/>
  <c r="AX24" i="47"/>
  <c r="AW24" i="47" s="1"/>
  <c r="H25" i="47"/>
  <c r="V25" i="47" s="1"/>
  <c r="AX25" i="47"/>
  <c r="AW25" i="47"/>
  <c r="H26" i="47"/>
  <c r="J26" i="47"/>
  <c r="U26" i="47" s="1"/>
  <c r="AX26" i="47"/>
  <c r="H27" i="47"/>
  <c r="AH27" i="47" s="1"/>
  <c r="I27" i="47"/>
  <c r="P27" i="47"/>
  <c r="J27" i="47"/>
  <c r="Y27" i="47"/>
  <c r="AA27" i="47"/>
  <c r="AE27" i="47"/>
  <c r="AT27" i="47"/>
  <c r="AX27" i="47"/>
  <c r="H28" i="47"/>
  <c r="AW28" i="47" s="1"/>
  <c r="AH28" i="47"/>
  <c r="AX28" i="47"/>
  <c r="H29" i="47"/>
  <c r="J29" i="47"/>
  <c r="U29" i="47" s="1"/>
  <c r="P29" i="47"/>
  <c r="Y29" i="47"/>
  <c r="AD29" i="47"/>
  <c r="AH29" i="47"/>
  <c r="AK29" i="47"/>
  <c r="AT29" i="47"/>
  <c r="AX29" i="47"/>
  <c r="AW29" i="47" s="1"/>
  <c r="H30" i="47"/>
  <c r="P30" i="47" s="1"/>
  <c r="J30" i="47"/>
  <c r="AJ30" i="47" s="1"/>
  <c r="O30" i="47"/>
  <c r="R30" i="47"/>
  <c r="U30" i="47"/>
  <c r="AD30" i="47"/>
  <c r="AS30" i="47"/>
  <c r="AV30" i="47"/>
  <c r="AX30" i="47"/>
  <c r="H31" i="47"/>
  <c r="J31" i="47"/>
  <c r="AG31" i="47" s="1"/>
  <c r="S31" i="47"/>
  <c r="U31" i="47"/>
  <c r="V31" i="47"/>
  <c r="AQ31" i="47"/>
  <c r="AS31" i="47"/>
  <c r="AT31" i="47"/>
  <c r="AX31" i="47"/>
  <c r="AY31" i="47"/>
  <c r="H32" i="47"/>
  <c r="I32" i="47"/>
  <c r="J32" i="47"/>
  <c r="O32" i="47" s="1"/>
  <c r="S32" i="47"/>
  <c r="AB32" i="47"/>
  <c r="AK32" i="47"/>
  <c r="AN32" i="47"/>
  <c r="AX32" i="47"/>
  <c r="H33" i="47"/>
  <c r="V33" i="47" s="1"/>
  <c r="J33" i="47"/>
  <c r="AM33" i="47" s="1"/>
  <c r="K33" i="47"/>
  <c r="P33" i="47"/>
  <c r="X33" i="47"/>
  <c r="AD33" i="47"/>
  <c r="AG33" i="47"/>
  <c r="AX33" i="47"/>
  <c r="AY33" i="47"/>
  <c r="AW33" i="47"/>
  <c r="H34" i="47"/>
  <c r="J34" i="47"/>
  <c r="U34" i="47" s="1"/>
  <c r="X34" i="47"/>
  <c r="AA34" i="47"/>
  <c r="AD34" i="47"/>
  <c r="AJ34" i="47"/>
  <c r="AV34" i="47"/>
  <c r="AX34" i="47"/>
  <c r="AW34" i="47" s="1"/>
  <c r="H35" i="47"/>
  <c r="I35" i="47" s="1"/>
  <c r="P35" i="47"/>
  <c r="J35" i="47"/>
  <c r="K35" i="47"/>
  <c r="M35" i="47"/>
  <c r="R35" i="47"/>
  <c r="S35" i="47"/>
  <c r="V35" i="47"/>
  <c r="Y35" i="47"/>
  <c r="AG35" i="47"/>
  <c r="AH35" i="47"/>
  <c r="AK35" i="47"/>
  <c r="AP35" i="47"/>
  <c r="AQ35" i="47"/>
  <c r="AT35" i="47"/>
  <c r="AX35" i="47"/>
  <c r="AW35" i="47" s="1"/>
  <c r="H36" i="47"/>
  <c r="M36" i="47"/>
  <c r="J36" i="47"/>
  <c r="U36" i="47"/>
  <c r="AX36" i="47"/>
  <c r="G37" i="47"/>
  <c r="H37" i="47"/>
  <c r="J37" i="47"/>
  <c r="AM37" i="47"/>
  <c r="O37" i="47"/>
  <c r="AX37" i="47"/>
  <c r="H38" i="47"/>
  <c r="I38" i="47"/>
  <c r="J38" i="47"/>
  <c r="O38" i="47" s="1"/>
  <c r="X38" i="47"/>
  <c r="AA38" i="47"/>
  <c r="AG38" i="47"/>
  <c r="AX38" i="47"/>
  <c r="AY38" i="47" s="1"/>
  <c r="AW38" i="47"/>
  <c r="D40" i="47"/>
  <c r="H7" i="43"/>
  <c r="B16" i="43"/>
  <c r="AC16" i="43"/>
  <c r="B17" i="43"/>
  <c r="AC17" i="43"/>
  <c r="B18" i="43"/>
  <c r="AC18" i="43"/>
  <c r="B19" i="43"/>
  <c r="AC19" i="43"/>
  <c r="B20" i="43"/>
  <c r="AC20" i="43"/>
  <c r="B21" i="43"/>
  <c r="AC21" i="43"/>
  <c r="B22" i="43"/>
  <c r="AC22" i="43"/>
  <c r="B23" i="43"/>
  <c r="AC23" i="43"/>
  <c r="B24" i="43"/>
  <c r="AC24" i="43"/>
  <c r="B25" i="43"/>
  <c r="AC25" i="43"/>
  <c r="B26" i="43"/>
  <c r="AC26" i="43"/>
  <c r="B27" i="43"/>
  <c r="AC27" i="43"/>
  <c r="B28" i="43"/>
  <c r="AC28" i="43"/>
  <c r="B29" i="43"/>
  <c r="AC29" i="43"/>
  <c r="B30" i="43"/>
  <c r="AC30" i="43"/>
  <c r="B31" i="43"/>
  <c r="AC31" i="43"/>
  <c r="A34" i="43"/>
  <c r="F4" i="42"/>
  <c r="F5" i="42"/>
  <c r="E7" i="42"/>
  <c r="F7" i="42"/>
  <c r="G16" i="44" s="1"/>
  <c r="H16" i="44" s="1"/>
  <c r="E8" i="42"/>
  <c r="E17" i="42"/>
  <c r="F17" i="42"/>
  <c r="G25" i="44"/>
  <c r="H25" i="44" s="1"/>
  <c r="F8" i="42"/>
  <c r="G17" i="44" s="1"/>
  <c r="H17" i="44" s="1"/>
  <c r="E9" i="42"/>
  <c r="F9" i="42"/>
  <c r="G18" i="44"/>
  <c r="H18" i="44"/>
  <c r="E10" i="42"/>
  <c r="F10" i="42" s="1"/>
  <c r="G19" i="44" s="1"/>
  <c r="H19" i="44" s="1"/>
  <c r="AH19" i="44" s="1"/>
  <c r="I10" i="42"/>
  <c r="E11" i="42"/>
  <c r="F11" i="42" s="1"/>
  <c r="G20" i="44" s="1"/>
  <c r="H20" i="44" s="1"/>
  <c r="E12" i="42"/>
  <c r="F12" i="42"/>
  <c r="G21" i="44" s="1"/>
  <c r="E13" i="42"/>
  <c r="F13" i="42" s="1"/>
  <c r="G22" i="44" s="1"/>
  <c r="H22" i="44" s="1"/>
  <c r="AQ22" i="44" s="1"/>
  <c r="F14" i="42"/>
  <c r="F16" i="42"/>
  <c r="C17" i="42"/>
  <c r="E18" i="42"/>
  <c r="E19" i="42" s="1"/>
  <c r="F19" i="42" s="1"/>
  <c r="G27" i="44" s="1"/>
  <c r="H27" i="44" s="1"/>
  <c r="E20" i="42"/>
  <c r="E34" i="42"/>
  <c r="F34" i="42"/>
  <c r="G40" i="44"/>
  <c r="H40" i="44" s="1"/>
  <c r="F20" i="42"/>
  <c r="F23" i="42"/>
  <c r="F24" i="42"/>
  <c r="G30" i="42"/>
  <c r="E28" i="42"/>
  <c r="F28" i="42" s="1"/>
  <c r="G35" i="44" s="1"/>
  <c r="H35" i="44" s="1"/>
  <c r="P35" i="44" s="1"/>
  <c r="F31" i="42"/>
  <c r="F33" i="42"/>
  <c r="F35" i="42"/>
  <c r="F36" i="42"/>
  <c r="F37" i="42"/>
  <c r="E39" i="42"/>
  <c r="F39" i="42" s="1"/>
  <c r="G43" i="44" s="1"/>
  <c r="H43" i="44" s="1"/>
  <c r="AN43" i="44" s="1"/>
  <c r="F40" i="42"/>
  <c r="E41" i="42"/>
  <c r="F41" i="42" s="1"/>
  <c r="G44" i="44" s="1"/>
  <c r="H44" i="44" s="1"/>
  <c r="M44" i="44" s="1"/>
  <c r="F42" i="42"/>
  <c r="F44" i="42"/>
  <c r="G47" i="44" s="1"/>
  <c r="H47" i="44" s="1"/>
  <c r="P47" i="44" s="1"/>
  <c r="F45" i="42"/>
  <c r="G48" i="44" s="1"/>
  <c r="H48" i="44" s="1"/>
  <c r="M48" i="44" s="1"/>
  <c r="F46" i="42"/>
  <c r="F47" i="42"/>
  <c r="F48" i="42"/>
  <c r="E50" i="42"/>
  <c r="E51" i="42"/>
  <c r="F51" i="42"/>
  <c r="E52" i="42"/>
  <c r="F52" i="42" s="1"/>
  <c r="E53" i="42"/>
  <c r="F53" i="42" s="1"/>
  <c r="F54" i="42"/>
  <c r="E55" i="42"/>
  <c r="F55" i="42"/>
  <c r="F56" i="42"/>
  <c r="G54" i="44" s="1"/>
  <c r="H54" i="44" s="1"/>
  <c r="F57" i="42"/>
  <c r="G55" i="44" s="1"/>
  <c r="H55" i="44" s="1"/>
  <c r="F58" i="42"/>
  <c r="F59" i="42"/>
  <c r="F60" i="42"/>
  <c r="F64" i="42"/>
  <c r="F65" i="42"/>
  <c r="E67" i="42"/>
  <c r="F67" i="42"/>
  <c r="E68" i="42"/>
  <c r="F68" i="42" s="1"/>
  <c r="G63" i="44" s="1"/>
  <c r="H63" i="44" s="1"/>
  <c r="V63" i="44" s="1"/>
  <c r="E70" i="42"/>
  <c r="E71" i="42"/>
  <c r="F71" i="42"/>
  <c r="G66" i="44" s="1"/>
  <c r="H66" i="44" s="1"/>
  <c r="E72" i="42"/>
  <c r="F72" i="42"/>
  <c r="G67" i="44" s="1"/>
  <c r="E75" i="42"/>
  <c r="F75" i="42"/>
  <c r="G70" i="44" s="1"/>
  <c r="H70" i="44" s="1"/>
  <c r="Y70" i="44" s="1"/>
  <c r="F76" i="42"/>
  <c r="E79" i="42"/>
  <c r="F79" i="42" s="1"/>
  <c r="G73" i="44" s="1"/>
  <c r="H73" i="44" s="1"/>
  <c r="F85" i="42"/>
  <c r="F86" i="42"/>
  <c r="F90" i="42"/>
  <c r="F91" i="42"/>
  <c r="F92" i="42"/>
  <c r="F93" i="42"/>
  <c r="F94" i="42"/>
  <c r="F95" i="42"/>
  <c r="F96" i="42"/>
  <c r="F97" i="42"/>
  <c r="F98" i="42"/>
  <c r="F99" i="42"/>
  <c r="E102" i="42"/>
  <c r="F102" i="42"/>
  <c r="G85" i="44" s="1"/>
  <c r="H85" i="44" s="1"/>
  <c r="F103" i="42"/>
  <c r="F104" i="42"/>
  <c r="F105" i="42"/>
  <c r="F106" i="42"/>
  <c r="F109" i="42"/>
  <c r="F110" i="42"/>
  <c r="F112" i="42"/>
  <c r="F113" i="42"/>
  <c r="E114" i="42"/>
  <c r="F114" i="42" s="1"/>
  <c r="G88" i="44" s="1"/>
  <c r="H88" i="44" s="1"/>
  <c r="F115" i="42"/>
  <c r="F116" i="42"/>
  <c r="F117" i="42"/>
  <c r="F118" i="42"/>
  <c r="F119" i="42"/>
  <c r="F120" i="42"/>
  <c r="F121" i="42"/>
  <c r="F122" i="42"/>
  <c r="F123" i="42"/>
  <c r="F124" i="42"/>
  <c r="F125" i="42"/>
  <c r="F126" i="42"/>
  <c r="F127" i="42"/>
  <c r="F128" i="42"/>
  <c r="F129" i="42"/>
  <c r="F130" i="42"/>
  <c r="F131" i="42"/>
  <c r="F132" i="42"/>
  <c r="F133" i="42"/>
  <c r="F134" i="42"/>
  <c r="F135" i="42"/>
  <c r="F136" i="42"/>
  <c r="E5" i="44"/>
  <c r="A10" i="43" s="1"/>
  <c r="A6" i="44"/>
  <c r="A6" i="43" s="1"/>
  <c r="A7" i="44"/>
  <c r="A7" i="43" s="1"/>
  <c r="A8" i="44"/>
  <c r="A8" i="43" s="1"/>
  <c r="G8" i="44"/>
  <c r="K8" i="44"/>
  <c r="G13" i="44"/>
  <c r="H13" i="44" s="1"/>
  <c r="AX13" i="44"/>
  <c r="AX16" i="44"/>
  <c r="AX17" i="44"/>
  <c r="F18" i="44"/>
  <c r="J18" i="44" s="1"/>
  <c r="AX18" i="44"/>
  <c r="AX19" i="44"/>
  <c r="AX20" i="44"/>
  <c r="AX21" i="44"/>
  <c r="AX22" i="44"/>
  <c r="AX25" i="44"/>
  <c r="AW25" i="44" s="1"/>
  <c r="AX26" i="44"/>
  <c r="AX27" i="44"/>
  <c r="G28" i="44"/>
  <c r="H28" i="44"/>
  <c r="AX28" i="44"/>
  <c r="AX29" i="44"/>
  <c r="AX30" i="44"/>
  <c r="AX33" i="44"/>
  <c r="AX34" i="44"/>
  <c r="AX35" i="44"/>
  <c r="AX36" i="44"/>
  <c r="AX37" i="44"/>
  <c r="J40" i="44"/>
  <c r="R40" i="44"/>
  <c r="R41" i="44" s="1"/>
  <c r="AX40" i="44"/>
  <c r="P43" i="44"/>
  <c r="AB43" i="44"/>
  <c r="AX43" i="44"/>
  <c r="AW43" i="44" s="1"/>
  <c r="AX44" i="44"/>
  <c r="AX47" i="44"/>
  <c r="F48" i="44"/>
  <c r="AX48" i="44"/>
  <c r="G49" i="44"/>
  <c r="H49" i="44"/>
  <c r="AE49" i="44"/>
  <c r="J49" i="44"/>
  <c r="AX49" i="44"/>
  <c r="F50" i="44"/>
  <c r="G50" i="44"/>
  <c r="H50" i="44" s="1"/>
  <c r="AX50" i="44"/>
  <c r="F53" i="44"/>
  <c r="J53" i="44"/>
  <c r="G53" i="44"/>
  <c r="AX53" i="44"/>
  <c r="F54" i="44"/>
  <c r="AX54" i="44"/>
  <c r="F55" i="44"/>
  <c r="J55" i="44" s="1"/>
  <c r="AX55" i="44"/>
  <c r="AX58" i="44"/>
  <c r="AX59" i="44"/>
  <c r="F62" i="44"/>
  <c r="J62" i="44"/>
  <c r="G62" i="44"/>
  <c r="AX62" i="44"/>
  <c r="AY62" i="44" s="1"/>
  <c r="AX63" i="44"/>
  <c r="J64" i="44"/>
  <c r="X64" i="44"/>
  <c r="AX64" i="44"/>
  <c r="AX65" i="44"/>
  <c r="M66" i="44"/>
  <c r="J66" i="44"/>
  <c r="AX66" i="44"/>
  <c r="H67" i="44"/>
  <c r="AN67" i="44" s="1"/>
  <c r="AX67" i="44"/>
  <c r="AX70" i="44"/>
  <c r="AX73" i="44"/>
  <c r="J76" i="44"/>
  <c r="AG76" i="44"/>
  <c r="AX76" i="44"/>
  <c r="AX77" i="44"/>
  <c r="F78" i="44"/>
  <c r="J78" i="44" s="1"/>
  <c r="AX78" i="44"/>
  <c r="J79" i="44"/>
  <c r="AJ79" i="44" s="1"/>
  <c r="O79" i="44"/>
  <c r="AA79" i="44"/>
  <c r="AX79" i="44"/>
  <c r="F82" i="44"/>
  <c r="G82" i="44"/>
  <c r="H82" i="44" s="1"/>
  <c r="AN82" i="44" s="1"/>
  <c r="AX82" i="44"/>
  <c r="AX85" i="44"/>
  <c r="AW85" i="44"/>
  <c r="AX88" i="44"/>
  <c r="D90" i="44"/>
  <c r="E4" i="23"/>
  <c r="F4" i="23"/>
  <c r="G13" i="20"/>
  <c r="E5" i="23"/>
  <c r="F5" i="23" s="1"/>
  <c r="G14" i="20" s="1"/>
  <c r="H14" i="20" s="1"/>
  <c r="E6" i="23"/>
  <c r="F6" i="23" s="1"/>
  <c r="G15" i="20" s="1"/>
  <c r="H15" i="20" s="1"/>
  <c r="F7" i="23"/>
  <c r="G16" i="20" s="1"/>
  <c r="H16" i="20" s="1"/>
  <c r="F8" i="23"/>
  <c r="G17" i="20" s="1"/>
  <c r="H17" i="20" s="1"/>
  <c r="F9" i="23"/>
  <c r="G18" i="20"/>
  <c r="F10" i="23"/>
  <c r="E12" i="23"/>
  <c r="F12" i="23"/>
  <c r="E13" i="23"/>
  <c r="E15" i="23"/>
  <c r="F15" i="23" s="1"/>
  <c r="G25" i="20" s="1"/>
  <c r="H25" i="20" s="1"/>
  <c r="Y25" i="20" s="1"/>
  <c r="E16" i="23"/>
  <c r="F16" i="23"/>
  <c r="G26" i="20"/>
  <c r="H26" i="20" s="1"/>
  <c r="AN26" i="20" s="1"/>
  <c r="E17" i="23"/>
  <c r="F17" i="23"/>
  <c r="G27" i="20" s="1"/>
  <c r="E18" i="23"/>
  <c r="F18" i="23"/>
  <c r="G28" i="20"/>
  <c r="E19" i="23"/>
  <c r="F19" i="23" s="1"/>
  <c r="G29" i="20" s="1"/>
  <c r="E20" i="23"/>
  <c r="F20" i="23" s="1"/>
  <c r="G30" i="20" s="1"/>
  <c r="H30" i="20" s="1"/>
  <c r="E21" i="23"/>
  <c r="F21" i="23" s="1"/>
  <c r="G31" i="20" s="1"/>
  <c r="H31" i="20" s="1"/>
  <c r="E22" i="23"/>
  <c r="F22" i="23" s="1"/>
  <c r="G32" i="20" s="1"/>
  <c r="H32" i="20"/>
  <c r="E25" i="23"/>
  <c r="F25" i="23" s="1"/>
  <c r="G35" i="20" s="1"/>
  <c r="H35" i="20" s="1"/>
  <c r="E26" i="23"/>
  <c r="F26" i="23" s="1"/>
  <c r="G36" i="20" s="1"/>
  <c r="C34" i="23"/>
  <c r="E35" i="23"/>
  <c r="E39" i="23" s="1"/>
  <c r="E37" i="23"/>
  <c r="F37" i="23" s="1"/>
  <c r="G47" i="20" s="1"/>
  <c r="H47" i="20" s="1"/>
  <c r="AN47" i="20" s="1"/>
  <c r="F39" i="23"/>
  <c r="G49" i="20" s="1"/>
  <c r="H49" i="20" s="1"/>
  <c r="E42" i="23"/>
  <c r="E46" i="23"/>
  <c r="F46" i="23" s="1"/>
  <c r="G56" i="20" s="1"/>
  <c r="H56" i="20" s="1"/>
  <c r="E44" i="23"/>
  <c r="F44" i="23"/>
  <c r="G54" i="20"/>
  <c r="F49" i="23"/>
  <c r="F51" i="23"/>
  <c r="F52" i="23"/>
  <c r="E55" i="23"/>
  <c r="F55" i="23" s="1"/>
  <c r="E56" i="23"/>
  <c r="E60" i="23"/>
  <c r="E61" i="23"/>
  <c r="F61" i="23"/>
  <c r="G68" i="20" s="1"/>
  <c r="F62" i="23"/>
  <c r="F63" i="23"/>
  <c r="F64" i="23"/>
  <c r="F66" i="23"/>
  <c r="E67" i="23"/>
  <c r="F67" i="23"/>
  <c r="E68" i="23"/>
  <c r="F68" i="23"/>
  <c r="G75" i="20" s="1"/>
  <c r="H75" i="20" s="1"/>
  <c r="I75" i="20" s="1"/>
  <c r="E71" i="23"/>
  <c r="F71" i="23"/>
  <c r="E72" i="23"/>
  <c r="F72" i="23" s="1"/>
  <c r="E73" i="23"/>
  <c r="F73" i="23"/>
  <c r="E74" i="23"/>
  <c r="F75" i="23"/>
  <c r="E76" i="23"/>
  <c r="F76" i="23"/>
  <c r="E77" i="23"/>
  <c r="F77" i="23" s="1"/>
  <c r="G83" i="20" s="1"/>
  <c r="H83" i="20" s="1"/>
  <c r="E78" i="23"/>
  <c r="E104" i="23" s="1"/>
  <c r="F104" i="23" s="1"/>
  <c r="G110" i="20" s="1"/>
  <c r="H110" i="20" s="1"/>
  <c r="F78" i="23"/>
  <c r="E79" i="23"/>
  <c r="E57" i="23" s="1"/>
  <c r="F57" i="23" s="1"/>
  <c r="G64" i="20" s="1"/>
  <c r="F79" i="23"/>
  <c r="E84" i="23"/>
  <c r="E85" i="23"/>
  <c r="F85" i="23" s="1"/>
  <c r="G91" i="20" s="1"/>
  <c r="F86" i="23"/>
  <c r="F87" i="23"/>
  <c r="E91" i="23"/>
  <c r="E92" i="23"/>
  <c r="F92" i="23" s="1"/>
  <c r="E94" i="23"/>
  <c r="E50" i="23" s="1"/>
  <c r="F50" i="23" s="1"/>
  <c r="G59" i="20" s="1"/>
  <c r="H59" i="20"/>
  <c r="AN59" i="20" s="1"/>
  <c r="F94" i="23"/>
  <c r="E95" i="23"/>
  <c r="F95" i="23"/>
  <c r="G101" i="20" s="1"/>
  <c r="H101" i="20" s="1"/>
  <c r="F96" i="23"/>
  <c r="E97" i="23"/>
  <c r="F97" i="23"/>
  <c r="E101" i="23"/>
  <c r="F101" i="23" s="1"/>
  <c r="G107" i="20" s="1"/>
  <c r="H107" i="20" s="1"/>
  <c r="E108" i="23"/>
  <c r="E109" i="23"/>
  <c r="F109" i="23" s="1"/>
  <c r="G115" i="20" s="1"/>
  <c r="H115" i="20" s="1"/>
  <c r="E111" i="23"/>
  <c r="F111" i="23" s="1"/>
  <c r="E112" i="23"/>
  <c r="F112" i="23" s="1"/>
  <c r="G118" i="20" s="1"/>
  <c r="F115" i="23"/>
  <c r="F116" i="23"/>
  <c r="F117" i="23"/>
  <c r="F118" i="23"/>
  <c r="E119" i="23"/>
  <c r="F119" i="23"/>
  <c r="F120" i="23"/>
  <c r="F121" i="23"/>
  <c r="F122" i="23"/>
  <c r="E125" i="23"/>
  <c r="F125" i="23" s="1"/>
  <c r="G130" i="20" s="1"/>
  <c r="E126" i="23"/>
  <c r="F126" i="23" s="1"/>
  <c r="E127" i="23"/>
  <c r="F127" i="23" s="1"/>
  <c r="F128" i="23"/>
  <c r="F131" i="23"/>
  <c r="F132" i="23"/>
  <c r="F133" i="23"/>
  <c r="A6" i="22"/>
  <c r="A7" i="22"/>
  <c r="A8" i="22"/>
  <c r="B16" i="22"/>
  <c r="AC16" i="22"/>
  <c r="B17" i="22"/>
  <c r="AC17" i="22"/>
  <c r="B18" i="22"/>
  <c r="AC18" i="22"/>
  <c r="B19" i="22"/>
  <c r="AC19" i="22"/>
  <c r="B20" i="22"/>
  <c r="AC20" i="22"/>
  <c r="B21" i="22"/>
  <c r="AC21" i="22"/>
  <c r="B22" i="22"/>
  <c r="AC22" i="22"/>
  <c r="B23" i="22"/>
  <c r="AC23" i="22"/>
  <c r="B24" i="22"/>
  <c r="AC24" i="22"/>
  <c r="B25" i="22"/>
  <c r="AC25" i="22"/>
  <c r="B26" i="22"/>
  <c r="AC26" i="22"/>
  <c r="B27" i="22"/>
  <c r="AC27" i="22"/>
  <c r="B28" i="22"/>
  <c r="AC28" i="22"/>
  <c r="B29" i="22"/>
  <c r="AC29" i="22"/>
  <c r="B30" i="22"/>
  <c r="AC30" i="22"/>
  <c r="B31" i="22"/>
  <c r="AC31" i="22"/>
  <c r="B32" i="22"/>
  <c r="AC32" i="22"/>
  <c r="B33" i="22"/>
  <c r="AC33" i="22"/>
  <c r="A36" i="22"/>
  <c r="E5" i="20"/>
  <c r="A10" i="22" s="1"/>
  <c r="A6" i="20"/>
  <c r="A7" i="20"/>
  <c r="A8" i="20"/>
  <c r="J13" i="20"/>
  <c r="AD13" i="20" s="1"/>
  <c r="U13" i="20"/>
  <c r="R13" i="20"/>
  <c r="X13" i="20"/>
  <c r="AJ13" i="20"/>
  <c r="AX13" i="20"/>
  <c r="AY13" i="20"/>
  <c r="BD13" i="20"/>
  <c r="BE13" i="20"/>
  <c r="J14" i="20"/>
  <c r="U14" i="20"/>
  <c r="AX14" i="20"/>
  <c r="BD14" i="20"/>
  <c r="F15" i="20"/>
  <c r="J15" i="20"/>
  <c r="AY15" i="20" s="1"/>
  <c r="K15" i="20"/>
  <c r="X15" i="20"/>
  <c r="AX15" i="20"/>
  <c r="BD15" i="20"/>
  <c r="J16" i="20"/>
  <c r="AX16" i="20"/>
  <c r="AW16" i="20" s="1"/>
  <c r="BD16" i="20"/>
  <c r="J17" i="20"/>
  <c r="O17" i="20"/>
  <c r="K17" i="20"/>
  <c r="R17" i="20"/>
  <c r="U17" i="20"/>
  <c r="X17" i="20"/>
  <c r="AA17" i="20"/>
  <c r="AD17" i="20"/>
  <c r="AJ17" i="20"/>
  <c r="AM17" i="20"/>
  <c r="AP17" i="20"/>
  <c r="AS17" i="20"/>
  <c r="AV17" i="20"/>
  <c r="AX17" i="20"/>
  <c r="BD17" i="20"/>
  <c r="BE17" i="20"/>
  <c r="J18" i="20"/>
  <c r="AX18" i="20"/>
  <c r="BD18" i="20"/>
  <c r="G19" i="20"/>
  <c r="K19" i="20" s="1"/>
  <c r="H19" i="20"/>
  <c r="J19" i="20"/>
  <c r="AD19" i="20" s="1"/>
  <c r="AX19" i="20"/>
  <c r="BD19" i="20"/>
  <c r="BD20" i="20"/>
  <c r="BE20" i="20"/>
  <c r="BD21" i="20"/>
  <c r="BE21" i="20"/>
  <c r="G22" i="20"/>
  <c r="H22" i="20" s="1"/>
  <c r="J22" i="20"/>
  <c r="K22" i="20" s="1"/>
  <c r="R22" i="20"/>
  <c r="AX22" i="20"/>
  <c r="BD22" i="20"/>
  <c r="J23" i="20"/>
  <c r="R23" i="20" s="1"/>
  <c r="AX23" i="20"/>
  <c r="AY23" i="20" s="1"/>
  <c r="BD23" i="20"/>
  <c r="J24" i="20"/>
  <c r="AM24" i="20" s="1"/>
  <c r="AX24" i="20"/>
  <c r="BD24" i="20"/>
  <c r="J25" i="20"/>
  <c r="AP25" i="20"/>
  <c r="AX25" i="20"/>
  <c r="AY25" i="20"/>
  <c r="BD25" i="20"/>
  <c r="J26" i="20"/>
  <c r="AM26" i="20" s="1"/>
  <c r="AX26" i="20"/>
  <c r="BD26" i="20"/>
  <c r="J27" i="20"/>
  <c r="U27" i="20" s="1"/>
  <c r="AD27" i="20"/>
  <c r="AX27" i="20"/>
  <c r="AY27" i="20" s="1"/>
  <c r="J28" i="20"/>
  <c r="X28" i="20" s="1"/>
  <c r="O28" i="20"/>
  <c r="R28" i="20"/>
  <c r="U28" i="20"/>
  <c r="AA28" i="20"/>
  <c r="AJ28" i="20"/>
  <c r="AM28" i="20"/>
  <c r="AP28" i="20"/>
  <c r="AS28" i="20"/>
  <c r="AX28" i="20"/>
  <c r="AY28" i="20" s="1"/>
  <c r="J29" i="20"/>
  <c r="U29" i="20"/>
  <c r="AG29" i="20"/>
  <c r="AS29" i="20"/>
  <c r="AX29" i="20"/>
  <c r="AY29" i="20"/>
  <c r="J30" i="20"/>
  <c r="K30" i="20" s="1"/>
  <c r="R30" i="20"/>
  <c r="AA30" i="20"/>
  <c r="AV30" i="20"/>
  <c r="AX30" i="20"/>
  <c r="J31" i="20"/>
  <c r="AX31" i="20"/>
  <c r="AY31" i="20"/>
  <c r="J32" i="20"/>
  <c r="AX32" i="20"/>
  <c r="J35" i="20"/>
  <c r="AJ35" i="20" s="1"/>
  <c r="R35" i="20"/>
  <c r="AS35" i="20"/>
  <c r="AX35" i="20"/>
  <c r="AY35" i="20" s="1"/>
  <c r="J36" i="20"/>
  <c r="U36" i="20" s="1"/>
  <c r="X36" i="20"/>
  <c r="O36" i="20"/>
  <c r="R36" i="20"/>
  <c r="AA36" i="20"/>
  <c r="AM36" i="20"/>
  <c r="AS36" i="20"/>
  <c r="AV36" i="20"/>
  <c r="AX36" i="20"/>
  <c r="AY36" i="20" s="1"/>
  <c r="F37" i="20"/>
  <c r="J37" i="20" s="1"/>
  <c r="X37" i="20" s="1"/>
  <c r="AX37" i="20"/>
  <c r="J38" i="20"/>
  <c r="O38" i="20"/>
  <c r="R38" i="20"/>
  <c r="U38" i="20"/>
  <c r="X38" i="20"/>
  <c r="AA38" i="20"/>
  <c r="AD38" i="20"/>
  <c r="AG38" i="20"/>
  <c r="AJ38" i="20"/>
  <c r="AM38" i="20"/>
  <c r="AP38" i="20"/>
  <c r="AS38" i="20"/>
  <c r="AV38" i="20"/>
  <c r="AX38" i="20"/>
  <c r="AY38" i="20"/>
  <c r="J39" i="20"/>
  <c r="O39" i="20" s="1"/>
  <c r="R39" i="20"/>
  <c r="U39" i="20"/>
  <c r="X39" i="20"/>
  <c r="AD39" i="20"/>
  <c r="AG39" i="20"/>
  <c r="AJ39" i="20"/>
  <c r="AP39" i="20"/>
  <c r="AV39" i="20"/>
  <c r="AX39" i="20"/>
  <c r="AY39" i="20"/>
  <c r="J40" i="20"/>
  <c r="AX40" i="20"/>
  <c r="J41" i="20"/>
  <c r="R41" i="20" s="1"/>
  <c r="U41" i="20"/>
  <c r="AP41" i="20"/>
  <c r="AS41" i="20"/>
  <c r="AX41" i="20"/>
  <c r="AY41" i="20" s="1"/>
  <c r="J44" i="20"/>
  <c r="AX44" i="20"/>
  <c r="AY44" i="20"/>
  <c r="J45" i="20"/>
  <c r="R45" i="20"/>
  <c r="AV45" i="20"/>
  <c r="AX45" i="20"/>
  <c r="AY45" i="20" s="1"/>
  <c r="J46" i="20"/>
  <c r="AV46" i="20" s="1"/>
  <c r="X46" i="20"/>
  <c r="AX46" i="20"/>
  <c r="J47" i="20"/>
  <c r="R47" i="20"/>
  <c r="U47" i="20"/>
  <c r="AX47" i="20"/>
  <c r="AY47" i="20" s="1"/>
  <c r="J48" i="20"/>
  <c r="AJ48" i="20" s="1"/>
  <c r="R48" i="20"/>
  <c r="AP48" i="20"/>
  <c r="AV48" i="20"/>
  <c r="AX48" i="20"/>
  <c r="AY48" i="20" s="1"/>
  <c r="J49" i="20"/>
  <c r="AX49" i="20"/>
  <c r="J52" i="20"/>
  <c r="AD52" i="20"/>
  <c r="AX52" i="20"/>
  <c r="J53" i="20"/>
  <c r="R53" i="20" s="1"/>
  <c r="AX53" i="20"/>
  <c r="AY53" i="20"/>
  <c r="J54" i="20"/>
  <c r="O54" i="20" s="1"/>
  <c r="R54" i="20"/>
  <c r="U54" i="20"/>
  <c r="X54" i="20"/>
  <c r="AA54" i="20"/>
  <c r="AD54" i="20"/>
  <c r="AJ54" i="20"/>
  <c r="AM54" i="20"/>
  <c r="AV54" i="20"/>
  <c r="AX54" i="20"/>
  <c r="AY54" i="20" s="1"/>
  <c r="J55" i="20"/>
  <c r="AD55" i="20" s="1"/>
  <c r="R55" i="20"/>
  <c r="O55" i="20"/>
  <c r="AJ55" i="20"/>
  <c r="AP55" i="20"/>
  <c r="AS55" i="20"/>
  <c r="AX55" i="20"/>
  <c r="AY55" i="20" s="1"/>
  <c r="J56" i="20"/>
  <c r="AD56" i="20" s="1"/>
  <c r="K56" i="20"/>
  <c r="O56" i="20"/>
  <c r="R56" i="20"/>
  <c r="U56" i="20"/>
  <c r="X56" i="20"/>
  <c r="AA56" i="20"/>
  <c r="AG56" i="20"/>
  <c r="AJ56" i="20"/>
  <c r="AM56" i="20"/>
  <c r="AP56" i="20"/>
  <c r="AS56" i="20"/>
  <c r="AV56" i="20"/>
  <c r="AX56" i="20"/>
  <c r="AY56" i="20" s="1"/>
  <c r="J59" i="20"/>
  <c r="O59" i="20" s="1"/>
  <c r="O60" i="20" s="1"/>
  <c r="U59" i="20"/>
  <c r="U60" i="20" s="1"/>
  <c r="X59" i="20"/>
  <c r="X60" i="20" s="1"/>
  <c r="AS59" i="20"/>
  <c r="AV59" i="20"/>
  <c r="AV60" i="20" s="1"/>
  <c r="AX59" i="20"/>
  <c r="AS60" i="20"/>
  <c r="G62" i="20"/>
  <c r="H62" i="20"/>
  <c r="J62" i="20"/>
  <c r="AD62" i="20"/>
  <c r="AG62" i="20"/>
  <c r="AJ62" i="20"/>
  <c r="AS62" i="20"/>
  <c r="AX62" i="20"/>
  <c r="J63" i="20"/>
  <c r="R63" i="20"/>
  <c r="AJ63" i="20"/>
  <c r="X63" i="20"/>
  <c r="AX63" i="20"/>
  <c r="H64" i="20"/>
  <c r="J64" i="20"/>
  <c r="AP64" i="20" s="1"/>
  <c r="K64" i="20"/>
  <c r="U64" i="20"/>
  <c r="X64" i="20"/>
  <c r="AG64" i="20"/>
  <c r="AJ64" i="20"/>
  <c r="AV64" i="20"/>
  <c r="AX64" i="20"/>
  <c r="AY64" i="20" s="1"/>
  <c r="J67" i="20"/>
  <c r="R67" i="20"/>
  <c r="AX67" i="20"/>
  <c r="AY67" i="20"/>
  <c r="F68" i="20"/>
  <c r="J68" i="20"/>
  <c r="O68" i="20" s="1"/>
  <c r="AA68" i="20"/>
  <c r="AG68" i="20"/>
  <c r="AX68" i="20"/>
  <c r="AY68" i="20" s="1"/>
  <c r="G69" i="20"/>
  <c r="H69" i="20" s="1"/>
  <c r="J69" i="20"/>
  <c r="K69" i="20"/>
  <c r="U69" i="20"/>
  <c r="AA69" i="20"/>
  <c r="AS69" i="20"/>
  <c r="AX69" i="20"/>
  <c r="AY69" i="20"/>
  <c r="G70" i="20"/>
  <c r="H70" i="20"/>
  <c r="I70" i="20" s="1"/>
  <c r="L70" i="20" s="1"/>
  <c r="J70" i="20"/>
  <c r="O70" i="20" s="1"/>
  <c r="AX70" i="20"/>
  <c r="AY70" i="20"/>
  <c r="G71" i="20"/>
  <c r="H71" i="20" s="1"/>
  <c r="J71" i="20"/>
  <c r="AG71" i="20"/>
  <c r="AX71" i="20"/>
  <c r="F72" i="20"/>
  <c r="J72" i="20"/>
  <c r="AX72" i="20"/>
  <c r="F73" i="20"/>
  <c r="J73" i="20"/>
  <c r="G73" i="20"/>
  <c r="H73" i="20" s="1"/>
  <c r="I73" i="20" s="1"/>
  <c r="L73" i="20" s="1"/>
  <c r="V73" i="20"/>
  <c r="AX73" i="20"/>
  <c r="AY73" i="20" s="1"/>
  <c r="G74" i="20"/>
  <c r="H74" i="20"/>
  <c r="J74" i="20"/>
  <c r="K74" i="20"/>
  <c r="O74" i="20"/>
  <c r="R74" i="20"/>
  <c r="U74" i="20"/>
  <c r="X74" i="20"/>
  <c r="AD74" i="20"/>
  <c r="AG74" i="20"/>
  <c r="AJ74" i="20"/>
  <c r="AP74" i="20"/>
  <c r="AS74" i="20"/>
  <c r="AV74" i="20"/>
  <c r="AX74" i="20"/>
  <c r="AY74" i="20" s="1"/>
  <c r="J75" i="20"/>
  <c r="K75" i="20"/>
  <c r="AX75" i="20"/>
  <c r="F78" i="20"/>
  <c r="G78" i="20"/>
  <c r="H78" i="20" s="1"/>
  <c r="Y78" i="20" s="1"/>
  <c r="J78" i="20"/>
  <c r="AG78" i="20" s="1"/>
  <c r="AX78" i="20"/>
  <c r="F79" i="20"/>
  <c r="J79" i="20" s="1"/>
  <c r="G79" i="20"/>
  <c r="H79" i="20" s="1"/>
  <c r="AX79" i="20"/>
  <c r="F80" i="20"/>
  <c r="J80" i="20" s="1"/>
  <c r="G80" i="20"/>
  <c r="H80" i="20" s="1"/>
  <c r="AQ80" i="20" s="1"/>
  <c r="AX80" i="20"/>
  <c r="F81" i="20"/>
  <c r="J81" i="20"/>
  <c r="G81" i="20"/>
  <c r="H81" i="20"/>
  <c r="AQ81" i="20" s="1"/>
  <c r="I81" i="20"/>
  <c r="X81" i="20"/>
  <c r="AX81" i="20"/>
  <c r="F82" i="20"/>
  <c r="J82" i="20" s="1"/>
  <c r="AG82" i="20" s="1"/>
  <c r="G82" i="20"/>
  <c r="H82" i="20" s="1"/>
  <c r="AH82" i="20" s="1"/>
  <c r="AX82" i="20"/>
  <c r="F83" i="20"/>
  <c r="J83" i="20"/>
  <c r="AX83" i="20"/>
  <c r="F84" i="20"/>
  <c r="J84" i="20" s="1"/>
  <c r="G84" i="20"/>
  <c r="H84" i="20"/>
  <c r="AX84" i="20"/>
  <c r="F85" i="20"/>
  <c r="J85" i="20"/>
  <c r="G85" i="20"/>
  <c r="H85" i="20" s="1"/>
  <c r="AN85" i="20" s="1"/>
  <c r="AX85" i="20"/>
  <c r="AY85" i="20" s="1"/>
  <c r="J88" i="20"/>
  <c r="AM88" i="20" s="1"/>
  <c r="AX88" i="20"/>
  <c r="J89" i="20"/>
  <c r="O89" i="20" s="1"/>
  <c r="AS89" i="20"/>
  <c r="AV89" i="20"/>
  <c r="AX89" i="20"/>
  <c r="AY89" i="20" s="1"/>
  <c r="J90" i="20"/>
  <c r="AD90" i="20" s="1"/>
  <c r="AX90" i="20"/>
  <c r="AY90" i="20"/>
  <c r="J91" i="20"/>
  <c r="O91" i="20" s="1"/>
  <c r="U91" i="20"/>
  <c r="AV91" i="20"/>
  <c r="AX91" i="20"/>
  <c r="AY91" i="20"/>
  <c r="G92" i="20"/>
  <c r="H92" i="20" s="1"/>
  <c r="J92" i="20"/>
  <c r="AJ92" i="20" s="1"/>
  <c r="X92" i="20"/>
  <c r="Y92" i="20"/>
  <c r="AD92" i="20"/>
  <c r="AG92" i="20"/>
  <c r="AS92" i="20"/>
  <c r="AX92" i="20"/>
  <c r="AW92" i="20"/>
  <c r="AY92" i="20"/>
  <c r="G93" i="20"/>
  <c r="H93" i="20" s="1"/>
  <c r="J93" i="20"/>
  <c r="K93" i="20" s="1"/>
  <c r="O93" i="20"/>
  <c r="R93" i="20"/>
  <c r="X93" i="20"/>
  <c r="AA93" i="20"/>
  <c r="AG93" i="20"/>
  <c r="AJ93" i="20"/>
  <c r="AK93" i="20"/>
  <c r="AP93" i="20"/>
  <c r="AV93" i="20"/>
  <c r="AX93" i="20"/>
  <c r="J96" i="20"/>
  <c r="X96" i="20" s="1"/>
  <c r="R96" i="20"/>
  <c r="U96" i="20"/>
  <c r="AD96" i="20"/>
  <c r="AG96" i="20"/>
  <c r="AJ96" i="20"/>
  <c r="AP96" i="20"/>
  <c r="AS96" i="20"/>
  <c r="AV96" i="20"/>
  <c r="AX96" i="20"/>
  <c r="AY96" i="20" s="1"/>
  <c r="J97" i="20"/>
  <c r="AX97" i="20"/>
  <c r="AY97" i="20" s="1"/>
  <c r="G98" i="20"/>
  <c r="H98" i="20" s="1"/>
  <c r="J98" i="20"/>
  <c r="X98" i="20" s="1"/>
  <c r="U98" i="20"/>
  <c r="AD98" i="20"/>
  <c r="AP98" i="20"/>
  <c r="AX98" i="20"/>
  <c r="J99" i="20"/>
  <c r="AX99" i="20"/>
  <c r="AY99" i="20" s="1"/>
  <c r="G100" i="20"/>
  <c r="H100" i="20"/>
  <c r="J100" i="20"/>
  <c r="AX100" i="20"/>
  <c r="AY100" i="20" s="1"/>
  <c r="J101" i="20"/>
  <c r="K101" i="20" s="1"/>
  <c r="AQ101" i="20"/>
  <c r="AX101" i="20"/>
  <c r="AY101" i="20"/>
  <c r="G102" i="20"/>
  <c r="H102" i="20"/>
  <c r="J102" i="20"/>
  <c r="AJ102" i="20" s="1"/>
  <c r="AK102" i="20"/>
  <c r="AS102" i="20"/>
  <c r="AV102" i="20"/>
  <c r="AX102" i="20"/>
  <c r="AY102" i="20" s="1"/>
  <c r="G103" i="20"/>
  <c r="H103" i="20"/>
  <c r="J103" i="20"/>
  <c r="K103" i="20" s="1"/>
  <c r="O103" i="20"/>
  <c r="AD103" i="20"/>
  <c r="AG103" i="20"/>
  <c r="AJ103" i="20"/>
  <c r="AX103" i="20"/>
  <c r="AY103" i="20"/>
  <c r="J106" i="20"/>
  <c r="R106" i="20"/>
  <c r="U106" i="20"/>
  <c r="AP106" i="20"/>
  <c r="AS106" i="20"/>
  <c r="AX106" i="20"/>
  <c r="AY106" i="20" s="1"/>
  <c r="J107" i="20"/>
  <c r="AX107" i="20"/>
  <c r="J110" i="20"/>
  <c r="AX110" i="20"/>
  <c r="J113" i="20"/>
  <c r="AA113" i="20" s="1"/>
  <c r="AD113" i="20"/>
  <c r="AG113" i="20"/>
  <c r="AJ113" i="20"/>
  <c r="AX113" i="20"/>
  <c r="AY113" i="20" s="1"/>
  <c r="J114" i="20"/>
  <c r="R114" i="20" s="1"/>
  <c r="AS114" i="20"/>
  <c r="AX114" i="20"/>
  <c r="AY114" i="20" s="1"/>
  <c r="F115" i="20"/>
  <c r="J115" i="20" s="1"/>
  <c r="K115" i="20" s="1"/>
  <c r="AX115" i="20"/>
  <c r="J116" i="20"/>
  <c r="O116" i="20" s="1"/>
  <c r="AP116" i="20"/>
  <c r="AV116" i="20"/>
  <c r="AX116" i="20"/>
  <c r="AY116" i="20" s="1"/>
  <c r="G117" i="20"/>
  <c r="H117" i="20"/>
  <c r="J117" i="20"/>
  <c r="K117" i="20" s="1"/>
  <c r="R117" i="20"/>
  <c r="U117" i="20"/>
  <c r="X117" i="20"/>
  <c r="AD117" i="20"/>
  <c r="AJ117" i="20"/>
  <c r="AP117" i="20"/>
  <c r="AV117" i="20"/>
  <c r="AX117" i="20"/>
  <c r="J118" i="20"/>
  <c r="AX118" i="20"/>
  <c r="F121" i="20"/>
  <c r="J121" i="20" s="1"/>
  <c r="G121" i="20"/>
  <c r="H121" i="20" s="1"/>
  <c r="AX121" i="20"/>
  <c r="F122" i="20"/>
  <c r="G122" i="20"/>
  <c r="H122" i="20"/>
  <c r="AQ122" i="20" s="1"/>
  <c r="J122" i="20"/>
  <c r="AX122" i="20"/>
  <c r="AY122" i="20" s="1"/>
  <c r="F123" i="20"/>
  <c r="J123" i="20"/>
  <c r="AG123" i="20" s="1"/>
  <c r="G123" i="20"/>
  <c r="H123" i="20"/>
  <c r="AQ123" i="20" s="1"/>
  <c r="I123" i="20"/>
  <c r="M123" i="20"/>
  <c r="X123" i="20"/>
  <c r="AX123" i="20"/>
  <c r="F124" i="20"/>
  <c r="G124" i="20"/>
  <c r="H124" i="20"/>
  <c r="AH124" i="20"/>
  <c r="J124" i="20"/>
  <c r="AX124" i="20"/>
  <c r="AW124" i="20" s="1"/>
  <c r="F125" i="20"/>
  <c r="J125" i="20"/>
  <c r="G125" i="20"/>
  <c r="H125" i="20" s="1"/>
  <c r="AN125" i="20" s="1"/>
  <c r="AX125" i="20"/>
  <c r="F126" i="20"/>
  <c r="J126" i="20"/>
  <c r="U126" i="20" s="1"/>
  <c r="G126" i="20"/>
  <c r="AX126" i="20"/>
  <c r="F127" i="20"/>
  <c r="J127" i="20" s="1"/>
  <c r="G127" i="20"/>
  <c r="AX127" i="20"/>
  <c r="H130" i="20"/>
  <c r="J130" i="20"/>
  <c r="AX130" i="20"/>
  <c r="BA130" i="20" s="1"/>
  <c r="G131" i="20"/>
  <c r="H131" i="20" s="1"/>
  <c r="J131" i="20"/>
  <c r="U131" i="20" s="1"/>
  <c r="AS131" i="20"/>
  <c r="AX131" i="20"/>
  <c r="G132" i="20"/>
  <c r="K132" i="20" s="1"/>
  <c r="H132" i="20"/>
  <c r="J132" i="20"/>
  <c r="U132" i="20" s="1"/>
  <c r="R132" i="20"/>
  <c r="AD132" i="20"/>
  <c r="AG132" i="20"/>
  <c r="AP132" i="20"/>
  <c r="AS132" i="20"/>
  <c r="AX132" i="20"/>
  <c r="AY132" i="20" s="1"/>
  <c r="G133" i="20"/>
  <c r="H133" i="20"/>
  <c r="J133" i="20"/>
  <c r="K133" i="20" s="1"/>
  <c r="AA133" i="20"/>
  <c r="AD133" i="20"/>
  <c r="AG133" i="20"/>
  <c r="AV133" i="20"/>
  <c r="AX133" i="20"/>
  <c r="AY133" i="20" s="1"/>
  <c r="G134" i="20"/>
  <c r="H134" i="20" s="1"/>
  <c r="J134" i="20"/>
  <c r="AX134" i="20"/>
  <c r="G135" i="20"/>
  <c r="H135" i="20" s="1"/>
  <c r="J135" i="20"/>
  <c r="AS135" i="20" s="1"/>
  <c r="AX135" i="20"/>
  <c r="H136" i="20"/>
  <c r="P136" i="20" s="1"/>
  <c r="I136" i="20"/>
  <c r="J136" i="20"/>
  <c r="AA136" i="20"/>
  <c r="M136" i="20"/>
  <c r="S136" i="20"/>
  <c r="V136" i="20"/>
  <c r="Y136" i="20"/>
  <c r="AB136" i="20"/>
  <c r="AE136" i="20"/>
  <c r="AH136" i="20"/>
  <c r="AK136" i="20"/>
  <c r="AN136" i="20"/>
  <c r="AQ136" i="20"/>
  <c r="AT136" i="20"/>
  <c r="AX136" i="20"/>
  <c r="F137" i="20"/>
  <c r="J137" i="20"/>
  <c r="AJ137" i="20" s="1"/>
  <c r="H137" i="20"/>
  <c r="I137" i="20"/>
  <c r="AE137" i="20"/>
  <c r="AX137" i="20"/>
  <c r="G138" i="20"/>
  <c r="H138" i="20" s="1"/>
  <c r="S138" i="20" s="1"/>
  <c r="I138" i="20"/>
  <c r="J138" i="20"/>
  <c r="O138" i="20" s="1"/>
  <c r="AX138" i="20"/>
  <c r="G141" i="20"/>
  <c r="H141" i="20" s="1"/>
  <c r="J141" i="20"/>
  <c r="Y141" i="20"/>
  <c r="AX141" i="20"/>
  <c r="G142" i="20"/>
  <c r="H142" i="20" s="1"/>
  <c r="M142" i="20" s="1"/>
  <c r="J142" i="20"/>
  <c r="AA142" i="20" s="1"/>
  <c r="O142" i="20"/>
  <c r="Y142" i="20"/>
  <c r="AG142" i="20"/>
  <c r="AS142" i="20"/>
  <c r="AX142" i="20"/>
  <c r="J145" i="20"/>
  <c r="U145" i="20" s="1"/>
  <c r="U146" i="20" s="1"/>
  <c r="AS145" i="20"/>
  <c r="AS146" i="20"/>
  <c r="AX145" i="20"/>
  <c r="AY145" i="20"/>
  <c r="AY146" i="20" s="1"/>
  <c r="D147" i="20"/>
  <c r="E5" i="28"/>
  <c r="A10" i="29" s="1"/>
  <c r="A8" i="27"/>
  <c r="A9" i="27"/>
  <c r="K9" i="27"/>
  <c r="K9" i="30" s="1"/>
  <c r="K9" i="31" s="1"/>
  <c r="K9" i="32" s="1"/>
  <c r="K9" i="33" s="1"/>
  <c r="K9" i="34" s="1"/>
  <c r="K9" i="35" s="1"/>
  <c r="K9" i="36" s="1"/>
  <c r="K9" i="37" s="1"/>
  <c r="K9" i="38" s="1"/>
  <c r="K9" i="39" s="1"/>
  <c r="K9" i="40" s="1"/>
  <c r="A10" i="27"/>
  <c r="K11" i="27"/>
  <c r="K13" i="27"/>
  <c r="H20" i="27" s="1"/>
  <c r="A19" i="27"/>
  <c r="B19" i="27"/>
  <c r="B20" i="27"/>
  <c r="K21" i="27"/>
  <c r="A22" i="27"/>
  <c r="B22" i="27"/>
  <c r="A23" i="27"/>
  <c r="B23" i="27"/>
  <c r="G25" i="27"/>
  <c r="I7" i="30"/>
  <c r="K7" i="30"/>
  <c r="A8" i="30"/>
  <c r="A9" i="30"/>
  <c r="A10" i="30"/>
  <c r="K10" i="30"/>
  <c r="K11" i="30" s="1"/>
  <c r="K13" i="30"/>
  <c r="H23" i="30" s="1"/>
  <c r="A19" i="30"/>
  <c r="B19" i="30"/>
  <c r="A20" i="30"/>
  <c r="B20" i="30"/>
  <c r="K21" i="30"/>
  <c r="A22" i="30"/>
  <c r="B22" i="30"/>
  <c r="A23" i="30"/>
  <c r="B23" i="30"/>
  <c r="G25" i="30"/>
  <c r="I7" i="31"/>
  <c r="K7" i="31"/>
  <c r="A8" i="31"/>
  <c r="A9" i="31"/>
  <c r="A10" i="31"/>
  <c r="K10" i="31"/>
  <c r="K11" i="31" s="1"/>
  <c r="K13" i="31"/>
  <c r="H21" i="31" s="1"/>
  <c r="A19" i="31"/>
  <c r="B19" i="31"/>
  <c r="A20" i="31"/>
  <c r="B20" i="31"/>
  <c r="K21" i="31"/>
  <c r="A22" i="31"/>
  <c r="B22" i="31"/>
  <c r="A23" i="31"/>
  <c r="B23" i="31"/>
  <c r="G25" i="31"/>
  <c r="I7" i="32"/>
  <c r="K7" i="32"/>
  <c r="A8" i="32"/>
  <c r="A9" i="32"/>
  <c r="A10" i="32"/>
  <c r="K10" i="32"/>
  <c r="K11" i="32"/>
  <c r="K13" i="32"/>
  <c r="H23" i="32" s="1"/>
  <c r="A19" i="32"/>
  <c r="B19" i="32"/>
  <c r="A20" i="32"/>
  <c r="B20" i="32"/>
  <c r="K21" i="32"/>
  <c r="A22" i="32"/>
  <c r="B22" i="32"/>
  <c r="A23" i="32"/>
  <c r="B23" i="32"/>
  <c r="G25" i="32"/>
  <c r="I7" i="33"/>
  <c r="K7" i="33"/>
  <c r="A8" i="33"/>
  <c r="A9" i="33"/>
  <c r="A10" i="33"/>
  <c r="K10" i="33"/>
  <c r="K11" i="33" s="1"/>
  <c r="K13" i="33"/>
  <c r="H22" i="33" s="1"/>
  <c r="A19" i="33"/>
  <c r="B19" i="33"/>
  <c r="A20" i="33"/>
  <c r="B20" i="33"/>
  <c r="K21" i="33"/>
  <c r="A22" i="33"/>
  <c r="B22" i="33"/>
  <c r="A23" i="33"/>
  <c r="B23" i="33"/>
  <c r="G25" i="33"/>
  <c r="I7" i="34"/>
  <c r="K7" i="34"/>
  <c r="A8" i="34"/>
  <c r="A9" i="34"/>
  <c r="A10" i="34"/>
  <c r="K10" i="34"/>
  <c r="K11" i="34" s="1"/>
  <c r="K13" i="34"/>
  <c r="H22" i="34" s="1"/>
  <c r="A19" i="34"/>
  <c r="B19" i="34"/>
  <c r="A20" i="34"/>
  <c r="B20" i="34"/>
  <c r="K21" i="34"/>
  <c r="A22" i="34"/>
  <c r="B22" i="34"/>
  <c r="A23" i="34"/>
  <c r="B23" i="34"/>
  <c r="G25" i="34"/>
  <c r="I7" i="35"/>
  <c r="K7" i="35"/>
  <c r="A8" i="35"/>
  <c r="A9" i="35"/>
  <c r="A10" i="35"/>
  <c r="K10" i="35"/>
  <c r="K11" i="35"/>
  <c r="K13" i="35"/>
  <c r="H23" i="35" s="1"/>
  <c r="A19" i="35"/>
  <c r="B19" i="35"/>
  <c r="A20" i="35"/>
  <c r="B20" i="35"/>
  <c r="K21" i="35"/>
  <c r="A22" i="35"/>
  <c r="B22" i="35"/>
  <c r="A23" i="35"/>
  <c r="B23" i="35"/>
  <c r="G25" i="35"/>
  <c r="I7" i="36"/>
  <c r="K7" i="36"/>
  <c r="A8" i="36"/>
  <c r="A9" i="36"/>
  <c r="A10" i="36"/>
  <c r="K10" i="36"/>
  <c r="K11" i="36" s="1"/>
  <c r="K13" i="36"/>
  <c r="H22" i="36" s="1"/>
  <c r="A19" i="36"/>
  <c r="B19" i="36"/>
  <c r="A20" i="36"/>
  <c r="B20" i="36"/>
  <c r="K21" i="36"/>
  <c r="A22" i="36"/>
  <c r="B22" i="36"/>
  <c r="A23" i="36"/>
  <c r="B23" i="36"/>
  <c r="G25" i="36"/>
  <c r="I7" i="37"/>
  <c r="K7" i="37"/>
  <c r="A8" i="37"/>
  <c r="A9" i="37"/>
  <c r="A10" i="37"/>
  <c r="K10" i="37"/>
  <c r="K11" i="37"/>
  <c r="K13" i="37"/>
  <c r="H23" i="37" s="1"/>
  <c r="A19" i="37"/>
  <c r="B19" i="37"/>
  <c r="A20" i="37"/>
  <c r="B20" i="37"/>
  <c r="K21" i="37"/>
  <c r="A22" i="37"/>
  <c r="B22" i="37"/>
  <c r="A23" i="37"/>
  <c r="B23" i="37"/>
  <c r="G25" i="37"/>
  <c r="I7" i="38"/>
  <c r="K7" i="38"/>
  <c r="A8" i="38"/>
  <c r="A9" i="38"/>
  <c r="A10" i="38"/>
  <c r="K10" i="38"/>
  <c r="K11" i="38" s="1"/>
  <c r="K13" i="38"/>
  <c r="H20" i="38" s="1"/>
  <c r="A19" i="38"/>
  <c r="B19" i="38"/>
  <c r="A20" i="38"/>
  <c r="B20" i="38"/>
  <c r="K21" i="38"/>
  <c r="A22" i="38"/>
  <c r="B22" i="38"/>
  <c r="A23" i="38"/>
  <c r="B23" i="38"/>
  <c r="G25" i="38"/>
  <c r="I7" i="39"/>
  <c r="K7" i="39"/>
  <c r="A8" i="39"/>
  <c r="A9" i="39"/>
  <c r="A10" i="39"/>
  <c r="K10" i="39"/>
  <c r="K11" i="39" s="1"/>
  <c r="K13" i="39"/>
  <c r="H23" i="39" s="1"/>
  <c r="A19" i="39"/>
  <c r="B19" i="39"/>
  <c r="A20" i="39"/>
  <c r="B20" i="39"/>
  <c r="K21" i="39"/>
  <c r="A22" i="39"/>
  <c r="B22" i="39"/>
  <c r="A23" i="39"/>
  <c r="B23" i="39"/>
  <c r="G25" i="39"/>
  <c r="I7" i="40"/>
  <c r="K7" i="40"/>
  <c r="A8" i="40"/>
  <c r="A9" i="40"/>
  <c r="A10" i="40"/>
  <c r="K10" i="40"/>
  <c r="K11" i="40"/>
  <c r="K13" i="40"/>
  <c r="H19" i="40" s="1"/>
  <c r="H25" i="40" s="1"/>
  <c r="A19" i="40"/>
  <c r="B19" i="40"/>
  <c r="A20" i="40"/>
  <c r="B20" i="40"/>
  <c r="K21" i="40"/>
  <c r="A22" i="40"/>
  <c r="B22" i="40"/>
  <c r="A23" i="40"/>
  <c r="B23" i="40"/>
  <c r="G25" i="40"/>
  <c r="B21" i="30"/>
  <c r="B21" i="36"/>
  <c r="A21" i="35"/>
  <c r="A21" i="40"/>
  <c r="A21" i="38"/>
  <c r="A21" i="37"/>
  <c r="B21" i="35"/>
  <c r="B21" i="32"/>
  <c r="B21" i="37"/>
  <c r="B21" i="34"/>
  <c r="B21" i="33"/>
  <c r="B21" i="27"/>
  <c r="B21" i="39"/>
  <c r="B21" i="38"/>
  <c r="B21" i="40"/>
  <c r="A21" i="27"/>
  <c r="A21" i="32"/>
  <c r="A21" i="36"/>
  <c r="A21" i="34"/>
  <c r="A21" i="39"/>
  <c r="A21" i="30"/>
  <c r="A21" i="31"/>
  <c r="U24" i="47"/>
  <c r="AM24" i="47"/>
  <c r="AY24" i="47"/>
  <c r="K24" i="47"/>
  <c r="O24" i="47"/>
  <c r="AA24" i="47"/>
  <c r="AP24" i="47"/>
  <c r="AD24" i="47"/>
  <c r="AJ24" i="47"/>
  <c r="L24" i="47"/>
  <c r="R24" i="47"/>
  <c r="X24" i="47"/>
  <c r="AV24" i="47"/>
  <c r="AG24" i="47"/>
  <c r="AS24" i="47"/>
  <c r="E21" i="40"/>
  <c r="E21" i="38"/>
  <c r="E21" i="35"/>
  <c r="E21" i="33"/>
  <c r="E21" i="32"/>
  <c r="E21" i="36"/>
  <c r="E21" i="39"/>
  <c r="E21" i="30"/>
  <c r="E21" i="31"/>
  <c r="E21" i="27"/>
  <c r="I21" i="37"/>
  <c r="E21" i="37"/>
  <c r="E21" i="34"/>
  <c r="C21" i="27"/>
  <c r="C21" i="35"/>
  <c r="C21" i="36"/>
  <c r="C21" i="39"/>
  <c r="C21" i="32"/>
  <c r="C21" i="38"/>
  <c r="C21" i="33"/>
  <c r="C21" i="37"/>
  <c r="C21" i="40"/>
  <c r="C21" i="34"/>
  <c r="C21" i="31"/>
  <c r="C21" i="30"/>
  <c r="I21" i="38"/>
  <c r="I21" i="34"/>
  <c r="I21" i="27"/>
  <c r="I21" i="35"/>
  <c r="I21" i="33"/>
  <c r="I21" i="40"/>
  <c r="I21" i="39"/>
  <c r="I21" i="32"/>
  <c r="I21" i="31"/>
  <c r="I21" i="36"/>
  <c r="I21" i="30"/>
  <c r="AE130" i="20"/>
  <c r="Y130" i="20"/>
  <c r="R84" i="20"/>
  <c r="U84" i="20"/>
  <c r="AK82" i="20"/>
  <c r="AE82" i="20"/>
  <c r="AB82" i="20"/>
  <c r="AT131" i="20"/>
  <c r="X125" i="20"/>
  <c r="AY125" i="20"/>
  <c r="AM125" i="20"/>
  <c r="X141" i="20"/>
  <c r="AJ141" i="20"/>
  <c r="AV141" i="20"/>
  <c r="R141" i="20"/>
  <c r="AD141" i="20"/>
  <c r="AP141" i="20"/>
  <c r="K141" i="20"/>
  <c r="O141" i="20"/>
  <c r="O143" i="20" s="1"/>
  <c r="AM141" i="20"/>
  <c r="U141" i="20"/>
  <c r="AS141" i="20"/>
  <c r="AS143" i="20"/>
  <c r="AA141" i="20"/>
  <c r="S121" i="20"/>
  <c r="Y121" i="20"/>
  <c r="AT121" i="20"/>
  <c r="AY137" i="20"/>
  <c r="AP126" i="20"/>
  <c r="AM126" i="20"/>
  <c r="AS126" i="20"/>
  <c r="K122" i="20"/>
  <c r="O122" i="20"/>
  <c r="AY142" i="20"/>
  <c r="AW142" i="20"/>
  <c r="O83" i="20"/>
  <c r="AA83" i="20"/>
  <c r="AM83" i="20"/>
  <c r="R83" i="20"/>
  <c r="AD83" i="20"/>
  <c r="AP83" i="20"/>
  <c r="X83" i="20"/>
  <c r="AJ83" i="20"/>
  <c r="AV83" i="20"/>
  <c r="U83" i="20"/>
  <c r="AG83" i="20"/>
  <c r="K83" i="20"/>
  <c r="AS83" i="20"/>
  <c r="AG141" i="20"/>
  <c r="AG143" i="20"/>
  <c r="V117" i="20"/>
  <c r="AH117" i="20"/>
  <c r="AT117" i="20"/>
  <c r="M117" i="20"/>
  <c r="Y117" i="20"/>
  <c r="AK117" i="20"/>
  <c r="I117" i="20"/>
  <c r="L117" i="20"/>
  <c r="S117" i="20"/>
  <c r="AE117" i="20"/>
  <c r="AQ117" i="20"/>
  <c r="P117" i="20"/>
  <c r="AN117" i="20"/>
  <c r="AB117" i="20"/>
  <c r="AJ80" i="20"/>
  <c r="AP80" i="20"/>
  <c r="U80" i="20"/>
  <c r="AG79" i="20"/>
  <c r="AS79" i="20"/>
  <c r="AP79" i="20"/>
  <c r="AS138" i="20"/>
  <c r="AW134" i="20"/>
  <c r="AH93" i="20"/>
  <c r="AT93" i="20"/>
  <c r="S79" i="20"/>
  <c r="AE79" i="20"/>
  <c r="AW75" i="20"/>
  <c r="BA70" i="20"/>
  <c r="BB70" i="20" s="1"/>
  <c r="V70" i="20"/>
  <c r="P62" i="20"/>
  <c r="V62" i="20"/>
  <c r="AB59" i="20"/>
  <c r="I56" i="20"/>
  <c r="L56" i="20" s="1"/>
  <c r="S56" i="20"/>
  <c r="AE56" i="20"/>
  <c r="AQ56" i="20"/>
  <c r="M56" i="20"/>
  <c r="Y56" i="20"/>
  <c r="AK56" i="20"/>
  <c r="AH56" i="20"/>
  <c r="AN56" i="20"/>
  <c r="P56" i="20"/>
  <c r="X18" i="20"/>
  <c r="AJ18" i="20"/>
  <c r="AV18" i="20"/>
  <c r="BE18" i="20"/>
  <c r="R18" i="20"/>
  <c r="AM18" i="20"/>
  <c r="U18" i="20"/>
  <c r="AP18" i="20"/>
  <c r="AA18" i="20"/>
  <c r="AS18" i="20"/>
  <c r="O18" i="20"/>
  <c r="AG18" i="20"/>
  <c r="AD18" i="20"/>
  <c r="V26" i="47"/>
  <c r="AH26" i="47"/>
  <c r="AT26" i="47"/>
  <c r="M26" i="47"/>
  <c r="Y26" i="47"/>
  <c r="AK26" i="47"/>
  <c r="P26" i="47"/>
  <c r="AB26" i="47"/>
  <c r="AN26" i="47"/>
  <c r="I26" i="47"/>
  <c r="L26" i="47" s="1"/>
  <c r="S26" i="47"/>
  <c r="AE26" i="47"/>
  <c r="AQ26" i="47"/>
  <c r="BA26" i="47"/>
  <c r="BB26" i="47" s="1"/>
  <c r="AY126" i="20"/>
  <c r="V124" i="20"/>
  <c r="M124" i="20"/>
  <c r="AK124" i="20"/>
  <c r="S124" i="20"/>
  <c r="AE124" i="20"/>
  <c r="AQ124" i="20"/>
  <c r="BA124" i="20"/>
  <c r="AZ124" i="20" s="1"/>
  <c r="AG121" i="20"/>
  <c r="AV121" i="20"/>
  <c r="P103" i="20"/>
  <c r="P85" i="20"/>
  <c r="AB85" i="20"/>
  <c r="I84" i="20"/>
  <c r="L84" i="20"/>
  <c r="S84" i="20"/>
  <c r="AE84" i="20"/>
  <c r="AQ84" i="20"/>
  <c r="BA84" i="20"/>
  <c r="V84" i="20"/>
  <c r="AH84" i="20"/>
  <c r="AT84" i="20"/>
  <c r="P84" i="20"/>
  <c r="AB84" i="20"/>
  <c r="AN84" i="20"/>
  <c r="M83" i="20"/>
  <c r="Y83" i="20"/>
  <c r="AK83" i="20"/>
  <c r="I83" i="20"/>
  <c r="L83" i="20" s="1"/>
  <c r="S83" i="20"/>
  <c r="AE83" i="20"/>
  <c r="AQ83" i="20"/>
  <c r="O67" i="20"/>
  <c r="AA67" i="20"/>
  <c r="AP67" i="20"/>
  <c r="AD67" i="20"/>
  <c r="AV67" i="20"/>
  <c r="AG67" i="20"/>
  <c r="U67" i="20"/>
  <c r="I64" i="20"/>
  <c r="L64" i="20"/>
  <c r="S64" i="20"/>
  <c r="AE64" i="20"/>
  <c r="AQ64" i="20"/>
  <c r="BA64" i="20"/>
  <c r="BB64" i="20" s="1"/>
  <c r="M64" i="20"/>
  <c r="Y64" i="20"/>
  <c r="AK64" i="20"/>
  <c r="AB64" i="20"/>
  <c r="AT64" i="20"/>
  <c r="AH64" i="20"/>
  <c r="AJ145" i="20"/>
  <c r="AJ146" i="20"/>
  <c r="AV145" i="20"/>
  <c r="AV146" i="20" s="1"/>
  <c r="AP145" i="20"/>
  <c r="AP146" i="20"/>
  <c r="AE142" i="20"/>
  <c r="V141" i="20"/>
  <c r="AK138" i="20"/>
  <c r="AB135" i="20"/>
  <c r="AB134" i="20"/>
  <c r="AN134" i="20"/>
  <c r="V134" i="20"/>
  <c r="AH134" i="20"/>
  <c r="AB124" i="20"/>
  <c r="Y122" i="20"/>
  <c r="AK122" i="20"/>
  <c r="AH122" i="20"/>
  <c r="V115" i="20"/>
  <c r="AH115" i="20"/>
  <c r="M115" i="20"/>
  <c r="AW115" i="20"/>
  <c r="I115" i="20"/>
  <c r="S115" i="20"/>
  <c r="AQ115" i="20"/>
  <c r="V101" i="20"/>
  <c r="AH101" i="20"/>
  <c r="AT101" i="20"/>
  <c r="P101" i="20"/>
  <c r="AB101" i="20"/>
  <c r="AN101" i="20"/>
  <c r="U82" i="20"/>
  <c r="AA82" i="20"/>
  <c r="AQ75" i="20"/>
  <c r="O71" i="20"/>
  <c r="AT70" i="20"/>
  <c r="P69" i="20"/>
  <c r="AH69" i="20"/>
  <c r="V69" i="20"/>
  <c r="BA69" i="20"/>
  <c r="Y69" i="20"/>
  <c r="AN69" i="20"/>
  <c r="AT69" i="20"/>
  <c r="V64" i="20"/>
  <c r="K26" i="20"/>
  <c r="X26" i="20"/>
  <c r="AJ26" i="20"/>
  <c r="AV26" i="20"/>
  <c r="BE26" i="20"/>
  <c r="R26" i="20"/>
  <c r="AD26" i="20"/>
  <c r="AP26" i="20"/>
  <c r="U26" i="20"/>
  <c r="AY26" i="20"/>
  <c r="AA26" i="20"/>
  <c r="AG26" i="20"/>
  <c r="O26" i="20"/>
  <c r="AS26" i="20"/>
  <c r="K13" i="20"/>
  <c r="H13" i="20"/>
  <c r="R142" i="20"/>
  <c r="AD142" i="20"/>
  <c r="AP142" i="20"/>
  <c r="X142" i="20"/>
  <c r="AJ142" i="20"/>
  <c r="AV142" i="20"/>
  <c r="AD138" i="20"/>
  <c r="AK101" i="20"/>
  <c r="AJ85" i="20"/>
  <c r="AV85" i="20"/>
  <c r="O85" i="20"/>
  <c r="AA85" i="20"/>
  <c r="U85" i="20"/>
  <c r="AB83" i="20"/>
  <c r="AY79" i="20"/>
  <c r="Y75" i="20"/>
  <c r="AN64" i="20"/>
  <c r="O63" i="20"/>
  <c r="AA63" i="20"/>
  <c r="AM63" i="20"/>
  <c r="AG63" i="20"/>
  <c r="AG65" i="20"/>
  <c r="U63" i="20"/>
  <c r="AP63" i="20"/>
  <c r="AD63" i="20"/>
  <c r="AV63" i="20"/>
  <c r="AJ65" i="20"/>
  <c r="I26" i="20"/>
  <c r="L26" i="20" s="1"/>
  <c r="S26" i="20"/>
  <c r="AE26" i="20"/>
  <c r="AQ26" i="20"/>
  <c r="BA26" i="20"/>
  <c r="V26" i="20"/>
  <c r="AH26" i="20"/>
  <c r="AT26" i="20"/>
  <c r="M26" i="20"/>
  <c r="Y26" i="20"/>
  <c r="AK26" i="20"/>
  <c r="P26" i="20"/>
  <c r="AB26" i="20"/>
  <c r="AP137" i="20"/>
  <c r="M125" i="20"/>
  <c r="Y125" i="20"/>
  <c r="AK125" i="20"/>
  <c r="I125" i="20"/>
  <c r="L125" i="20" s="1"/>
  <c r="AQ125" i="20"/>
  <c r="BA125" i="20"/>
  <c r="AZ125" i="20" s="1"/>
  <c r="AG115" i="20"/>
  <c r="P107" i="20"/>
  <c r="AB107" i="20"/>
  <c r="Y84" i="20"/>
  <c r="V83" i="20"/>
  <c r="V75" i="20"/>
  <c r="AH75" i="20"/>
  <c r="AT75" i="20"/>
  <c r="P75" i="20"/>
  <c r="AB75" i="20"/>
  <c r="AN75" i="20"/>
  <c r="X71" i="20"/>
  <c r="AJ71" i="20"/>
  <c r="AV71" i="20"/>
  <c r="R71" i="20"/>
  <c r="AD71" i="20"/>
  <c r="AP71" i="20"/>
  <c r="U71" i="20"/>
  <c r="AM71" i="20"/>
  <c r="AA71" i="20"/>
  <c r="AS71" i="20"/>
  <c r="M70" i="20"/>
  <c r="AH70" i="20"/>
  <c r="Y70" i="20"/>
  <c r="AJ67" i="20"/>
  <c r="M47" i="20"/>
  <c r="Y47" i="20"/>
  <c r="AK47" i="20"/>
  <c r="I47" i="20"/>
  <c r="L47" i="20" s="1"/>
  <c r="S47" i="20"/>
  <c r="AE47" i="20"/>
  <c r="AQ47" i="20"/>
  <c r="BA47" i="20"/>
  <c r="BB47" i="20" s="1"/>
  <c r="AB47" i="20"/>
  <c r="AT47" i="20"/>
  <c r="P47" i="20"/>
  <c r="AH47" i="20"/>
  <c r="V47" i="20"/>
  <c r="R24" i="20"/>
  <c r="AD24" i="20"/>
  <c r="AP24" i="20"/>
  <c r="X24" i="20"/>
  <c r="AJ24" i="20"/>
  <c r="AV24" i="20"/>
  <c r="BE24" i="20"/>
  <c r="O24" i="20"/>
  <c r="U24" i="20"/>
  <c r="AA24" i="20"/>
  <c r="AG24" i="20"/>
  <c r="AS24" i="20"/>
  <c r="P142" i="20"/>
  <c r="AB142" i="20"/>
  <c r="AN142" i="20"/>
  <c r="V138" i="20"/>
  <c r="AH138" i="20"/>
  <c r="AT138" i="20"/>
  <c r="P138" i="20"/>
  <c r="AB138" i="20"/>
  <c r="AN138" i="20"/>
  <c r="V133" i="20"/>
  <c r="AN133" i="20"/>
  <c r="P132" i="20"/>
  <c r="AN132" i="20"/>
  <c r="AN124" i="20"/>
  <c r="AW121" i="20"/>
  <c r="S85" i="20"/>
  <c r="AK75" i="20"/>
  <c r="AK70" i="20"/>
  <c r="R68" i="20"/>
  <c r="AD68" i="20"/>
  <c r="AP68" i="20"/>
  <c r="X68" i="20"/>
  <c r="AJ68" i="20"/>
  <c r="AV68" i="20"/>
  <c r="AM68" i="20"/>
  <c r="AS68" i="20"/>
  <c r="U68" i="20"/>
  <c r="P64" i="20"/>
  <c r="M59" i="20"/>
  <c r="Y59" i="20"/>
  <c r="AK59" i="20"/>
  <c r="I59" i="20"/>
  <c r="L59" i="20" s="1"/>
  <c r="L60" i="20"/>
  <c r="S59" i="20"/>
  <c r="AE59" i="20"/>
  <c r="AQ59" i="20"/>
  <c r="BA59" i="20"/>
  <c r="P59" i="20"/>
  <c r="AH59" i="20"/>
  <c r="V59" i="20"/>
  <c r="AM145" i="20"/>
  <c r="AM146" i="20" s="1"/>
  <c r="AM142" i="20"/>
  <c r="U142" i="20"/>
  <c r="U143" i="20" s="1"/>
  <c r="Y138" i="20"/>
  <c r="AD136" i="20"/>
  <c r="AP136" i="20"/>
  <c r="L136" i="20"/>
  <c r="M134" i="20"/>
  <c r="S133" i="20"/>
  <c r="AA127" i="20"/>
  <c r="AT125" i="20"/>
  <c r="V125" i="20"/>
  <c r="P124" i="20"/>
  <c r="AW122" i="20"/>
  <c r="S107" i="20"/>
  <c r="M103" i="20"/>
  <c r="AE101" i="20"/>
  <c r="R85" i="20"/>
  <c r="AT83" i="20"/>
  <c r="P83" i="20"/>
  <c r="AV82" i="20"/>
  <c r="AN79" i="20"/>
  <c r="S75" i="20"/>
  <c r="R72" i="20"/>
  <c r="AW69" i="20"/>
  <c r="AS63" i="20"/>
  <c r="AB56" i="20"/>
  <c r="P25" i="20"/>
  <c r="AB25" i="20"/>
  <c r="AN25" i="20"/>
  <c r="I25" i="20"/>
  <c r="L25" i="20" s="1"/>
  <c r="S25" i="20"/>
  <c r="AE25" i="20"/>
  <c r="AQ25" i="20"/>
  <c r="BA25" i="20"/>
  <c r="V25" i="20"/>
  <c r="AH25" i="20"/>
  <c r="AT25" i="20"/>
  <c r="M25" i="20"/>
  <c r="AK25" i="20"/>
  <c r="AW25" i="20"/>
  <c r="V31" i="20"/>
  <c r="AH31" i="20"/>
  <c r="AT31" i="20"/>
  <c r="M31" i="20"/>
  <c r="Y31" i="20"/>
  <c r="AK31" i="20"/>
  <c r="AW31" i="20"/>
  <c r="P31" i="20"/>
  <c r="AB31" i="20"/>
  <c r="AN31" i="20"/>
  <c r="I31" i="20"/>
  <c r="L31" i="20"/>
  <c r="AE31" i="20"/>
  <c r="BA31" i="20"/>
  <c r="AM132" i="20"/>
  <c r="AA132" i="20"/>
  <c r="O132" i="20"/>
  <c r="AA130" i="20"/>
  <c r="AM123" i="20"/>
  <c r="AA123" i="20"/>
  <c r="O123" i="20"/>
  <c r="AM114" i="20"/>
  <c r="AA114" i="20"/>
  <c r="O114" i="20"/>
  <c r="AM106" i="20"/>
  <c r="AA106" i="20"/>
  <c r="O106" i="20"/>
  <c r="AM102" i="20"/>
  <c r="AA102" i="20"/>
  <c r="O102" i="20"/>
  <c r="AM100" i="20"/>
  <c r="AM98" i="20"/>
  <c r="AA98" i="20"/>
  <c r="O98" i="20"/>
  <c r="AM96" i="20"/>
  <c r="AA96" i="20"/>
  <c r="O96" i="20"/>
  <c r="AM92" i="20"/>
  <c r="AA92" i="20"/>
  <c r="O92" i="20"/>
  <c r="AM90" i="20"/>
  <c r="AA90" i="20"/>
  <c r="O90" i="20"/>
  <c r="O88" i="20"/>
  <c r="AM81" i="20"/>
  <c r="AW73" i="20"/>
  <c r="AH73" i="20"/>
  <c r="U73" i="20"/>
  <c r="AG73" i="20"/>
  <c r="AS73" i="20"/>
  <c r="O73" i="20"/>
  <c r="AA73" i="20"/>
  <c r="AM73" i="20"/>
  <c r="R70" i="20"/>
  <c r="AD70" i="20"/>
  <c r="AP70" i="20"/>
  <c r="X70" i="20"/>
  <c r="AJ70" i="20"/>
  <c r="AV70" i="20"/>
  <c r="AW59" i="20"/>
  <c r="AY18" i="20"/>
  <c r="E28" i="23"/>
  <c r="E90" i="23"/>
  <c r="F90" i="23" s="1"/>
  <c r="G96" i="20" s="1"/>
  <c r="AT123" i="20"/>
  <c r="AH123" i="20"/>
  <c r="V123" i="20"/>
  <c r="AT102" i="20"/>
  <c r="AH102" i="20"/>
  <c r="V102" i="20"/>
  <c r="AT92" i="20"/>
  <c r="AH92" i="20"/>
  <c r="V92" i="20"/>
  <c r="AT81" i="20"/>
  <c r="AH81" i="20"/>
  <c r="V81" i="20"/>
  <c r="AQ73" i="20"/>
  <c r="AB73" i="20"/>
  <c r="X69" i="20"/>
  <c r="AJ69" i="20"/>
  <c r="AV69" i="20"/>
  <c r="R69" i="20"/>
  <c r="AD69" i="20"/>
  <c r="AP69" i="20"/>
  <c r="P30" i="20"/>
  <c r="AB30" i="20"/>
  <c r="AN30" i="20"/>
  <c r="I30" i="20"/>
  <c r="L30" i="20" s="1"/>
  <c r="S30" i="20"/>
  <c r="AE30" i="20"/>
  <c r="AQ30" i="20"/>
  <c r="BA30" i="20"/>
  <c r="V30" i="20"/>
  <c r="AH30" i="20"/>
  <c r="AT30" i="20"/>
  <c r="R16" i="20"/>
  <c r="AD16" i="20"/>
  <c r="AP16" i="20"/>
  <c r="K16" i="20"/>
  <c r="O16" i="20"/>
  <c r="AG16" i="20"/>
  <c r="AV16" i="20"/>
  <c r="U16" i="20"/>
  <c r="AJ16" i="20"/>
  <c r="X16" i="20"/>
  <c r="AM16" i="20"/>
  <c r="BA73" i="20"/>
  <c r="AP73" i="20"/>
  <c r="Y73" i="20"/>
  <c r="K73" i="20"/>
  <c r="AG70" i="20"/>
  <c r="AW64" i="20"/>
  <c r="AW47" i="20"/>
  <c r="K31" i="20"/>
  <c r="O19" i="20"/>
  <c r="AA19" i="20"/>
  <c r="AM19" i="20"/>
  <c r="AY19" i="20"/>
  <c r="R19" i="20"/>
  <c r="AJ19" i="20"/>
  <c r="U19" i="20"/>
  <c r="AP19" i="20"/>
  <c r="X19" i="20"/>
  <c r="AS19" i="20"/>
  <c r="AG19" i="20"/>
  <c r="E65" i="23"/>
  <c r="F65" i="23" s="1"/>
  <c r="G72" i="20" s="1"/>
  <c r="F60" i="23"/>
  <c r="G67" i="20"/>
  <c r="H67" i="20" s="1"/>
  <c r="E136" i="23"/>
  <c r="F136" i="23" s="1"/>
  <c r="G145" i="20" s="1"/>
  <c r="H145" i="20"/>
  <c r="AW145" i="20"/>
  <c r="E100" i="23"/>
  <c r="F100" i="23"/>
  <c r="G106" i="20" s="1"/>
  <c r="AW73" i="44"/>
  <c r="AW22" i="20"/>
  <c r="AY22" i="20"/>
  <c r="F74" i="23"/>
  <c r="E110" i="23"/>
  <c r="F110" i="23" s="1"/>
  <c r="G116" i="20" s="1"/>
  <c r="E82" i="23"/>
  <c r="F56" i="23"/>
  <c r="G63" i="20"/>
  <c r="H63" i="20"/>
  <c r="I63" i="20" s="1"/>
  <c r="L63" i="20" s="1"/>
  <c r="P85" i="44"/>
  <c r="AB85" i="44"/>
  <c r="AN85" i="44"/>
  <c r="I85" i="44"/>
  <c r="S85" i="44"/>
  <c r="AE85" i="44"/>
  <c r="AQ85" i="44"/>
  <c r="BA85" i="44"/>
  <c r="M85" i="44"/>
  <c r="Y85" i="44"/>
  <c r="AK85" i="44"/>
  <c r="AH85" i="44"/>
  <c r="V85" i="44"/>
  <c r="AT85" i="44"/>
  <c r="M49" i="20"/>
  <c r="S49" i="20"/>
  <c r="AE49" i="20"/>
  <c r="BA49" i="20"/>
  <c r="V35" i="20"/>
  <c r="AH35" i="20"/>
  <c r="AT35" i="20"/>
  <c r="M35" i="20"/>
  <c r="Y35" i="20"/>
  <c r="AK35" i="20"/>
  <c r="AW35" i="20"/>
  <c r="P35" i="20"/>
  <c r="AB35" i="20"/>
  <c r="AN35" i="20"/>
  <c r="AY24" i="20"/>
  <c r="AW17" i="20"/>
  <c r="AY17" i="20"/>
  <c r="AN123" i="20"/>
  <c r="AB123" i="20"/>
  <c r="AM118" i="20"/>
  <c r="AM116" i="20"/>
  <c r="AA116" i="20"/>
  <c r="AN102" i="20"/>
  <c r="AB102" i="20"/>
  <c r="AN100" i="20"/>
  <c r="AN98" i="20"/>
  <c r="AN92" i="20"/>
  <c r="AB92" i="20"/>
  <c r="AN81" i="20"/>
  <c r="AB81" i="20"/>
  <c r="AM78" i="20"/>
  <c r="AA78" i="20"/>
  <c r="AJ73" i="20"/>
  <c r="AA70" i="20"/>
  <c r="K70" i="20"/>
  <c r="AG69" i="20"/>
  <c r="AW56" i="20"/>
  <c r="V49" i="20"/>
  <c r="AW26" i="20"/>
  <c r="V22" i="20"/>
  <c r="AH22" i="20"/>
  <c r="AT22" i="20"/>
  <c r="I22" i="20"/>
  <c r="Y22" i="20"/>
  <c r="M22" i="20"/>
  <c r="AN22" i="20"/>
  <c r="AB22" i="20"/>
  <c r="BA22" i="20"/>
  <c r="S22" i="20"/>
  <c r="BE19" i="20"/>
  <c r="F91" i="23"/>
  <c r="G97" i="20"/>
  <c r="P28" i="44"/>
  <c r="AQ28" i="44"/>
  <c r="S28" i="44"/>
  <c r="AT28" i="44"/>
  <c r="I28" i="44"/>
  <c r="AH28" i="44"/>
  <c r="V28" i="44"/>
  <c r="AK28" i="44"/>
  <c r="Y28" i="44"/>
  <c r="AB28" i="44"/>
  <c r="BA28" i="44"/>
  <c r="M28" i="44"/>
  <c r="AE28" i="44"/>
  <c r="AN28" i="44"/>
  <c r="BE22" i="20"/>
  <c r="AV22" i="20"/>
  <c r="AG22" i="20"/>
  <c r="AN15" i="20"/>
  <c r="U15" i="20"/>
  <c r="E107" i="23"/>
  <c r="F107" i="23" s="1"/>
  <c r="G113" i="20" s="1"/>
  <c r="H113" i="20" s="1"/>
  <c r="F108" i="23"/>
  <c r="G114" i="20" s="1"/>
  <c r="E14" i="23"/>
  <c r="F14" i="23" s="1"/>
  <c r="G24" i="20" s="1"/>
  <c r="F13" i="23"/>
  <c r="G23" i="20" s="1"/>
  <c r="K23" i="20" s="1"/>
  <c r="P70" i="44"/>
  <c r="AB70" i="44"/>
  <c r="AN70" i="44"/>
  <c r="I70" i="44"/>
  <c r="S70" i="44"/>
  <c r="AE70" i="44"/>
  <c r="AQ70" i="44"/>
  <c r="BA70" i="44"/>
  <c r="AH70" i="44"/>
  <c r="V70" i="44"/>
  <c r="AK70" i="44"/>
  <c r="M70" i="44"/>
  <c r="AT70" i="44"/>
  <c r="P48" i="44"/>
  <c r="AB48" i="44"/>
  <c r="AN48" i="44"/>
  <c r="I48" i="44"/>
  <c r="S48" i="44"/>
  <c r="AE48" i="44"/>
  <c r="AQ48" i="44"/>
  <c r="BA48" i="44"/>
  <c r="V48" i="44"/>
  <c r="AH48" i="44"/>
  <c r="AT48" i="44"/>
  <c r="Y48" i="44"/>
  <c r="AK48" i="44"/>
  <c r="AW48" i="44"/>
  <c r="AM59" i="20"/>
  <c r="AM60" i="20" s="1"/>
  <c r="AA59" i="20"/>
  <c r="AA60" i="20"/>
  <c r="AM55" i="20"/>
  <c r="AA55" i="20"/>
  <c r="AM53" i="20"/>
  <c r="AA53" i="20"/>
  <c r="AM49" i="20"/>
  <c r="AA49" i="20"/>
  <c r="AM47" i="20"/>
  <c r="AA47" i="20"/>
  <c r="AM45" i="20"/>
  <c r="AA45" i="20"/>
  <c r="AM41" i="20"/>
  <c r="AA41" i="20"/>
  <c r="AM39" i="20"/>
  <c r="AA39" i="20"/>
  <c r="AM37" i="20"/>
  <c r="AA37" i="20"/>
  <c r="AP22" i="20"/>
  <c r="O22" i="20"/>
  <c r="I19" i="20"/>
  <c r="L19" i="20" s="1"/>
  <c r="S19" i="20"/>
  <c r="AE19" i="20"/>
  <c r="AQ19" i="20"/>
  <c r="M19" i="20"/>
  <c r="Y19" i="20"/>
  <c r="AK19" i="20"/>
  <c r="AT17" i="20"/>
  <c r="AW15" i="20"/>
  <c r="AG15" i="20"/>
  <c r="AW88" i="44"/>
  <c r="AW82" i="44"/>
  <c r="X76" i="44"/>
  <c r="AJ76" i="44"/>
  <c r="AV76" i="44"/>
  <c r="O76" i="44"/>
  <c r="AA76" i="44"/>
  <c r="AM76" i="44"/>
  <c r="R76" i="44"/>
  <c r="AD76" i="44"/>
  <c r="AP76" i="44"/>
  <c r="AM74" i="20"/>
  <c r="AA74" i="20"/>
  <c r="AM35" i="20"/>
  <c r="AA35" i="20"/>
  <c r="O35" i="20"/>
  <c r="AM31" i="20"/>
  <c r="AA31" i="20"/>
  <c r="O31" i="20"/>
  <c r="AM29" i="20"/>
  <c r="AA29" i="20"/>
  <c r="AM27" i="20"/>
  <c r="AA27" i="20"/>
  <c r="AA22" i="20"/>
  <c r="V19" i="20"/>
  <c r="AV15" i="20"/>
  <c r="AD15" i="20"/>
  <c r="AY14" i="20"/>
  <c r="AG14" i="20"/>
  <c r="O14" i="20"/>
  <c r="AW49" i="44"/>
  <c r="AY49" i="44"/>
  <c r="BA49" i="44"/>
  <c r="V16" i="44"/>
  <c r="AH16" i="44"/>
  <c r="AT16" i="44"/>
  <c r="M16" i="44"/>
  <c r="Y16" i="44"/>
  <c r="AK16" i="44"/>
  <c r="P16" i="44"/>
  <c r="AB16" i="44"/>
  <c r="AN16" i="44"/>
  <c r="I16" i="44"/>
  <c r="S16" i="44"/>
  <c r="AE16" i="44"/>
  <c r="AQ16" i="44"/>
  <c r="BA16" i="44"/>
  <c r="I35" i="44"/>
  <c r="S35" i="44"/>
  <c r="AE35" i="44"/>
  <c r="AQ35" i="44"/>
  <c r="BA35" i="44"/>
  <c r="V35" i="44"/>
  <c r="AH35" i="44"/>
  <c r="AT35" i="44"/>
  <c r="M35" i="44"/>
  <c r="Y35" i="44"/>
  <c r="AK35" i="44"/>
  <c r="AW35" i="44"/>
  <c r="AB35" i="44"/>
  <c r="AN35" i="44"/>
  <c r="AM22" i="20"/>
  <c r="L22" i="20"/>
  <c r="AY16" i="20"/>
  <c r="AY20" i="20" s="1"/>
  <c r="AT15" i="20"/>
  <c r="O15" i="20"/>
  <c r="AA15" i="20"/>
  <c r="AM15" i="20"/>
  <c r="F84" i="23"/>
  <c r="G90" i="20" s="1"/>
  <c r="H90" i="20" s="1"/>
  <c r="V88" i="44"/>
  <c r="AH88" i="44"/>
  <c r="AT88" i="44"/>
  <c r="M88" i="44"/>
  <c r="Y88" i="44"/>
  <c r="AK88" i="44"/>
  <c r="I88" i="44"/>
  <c r="S88" i="44"/>
  <c r="AE88" i="44"/>
  <c r="AQ88" i="44"/>
  <c r="BA88" i="44"/>
  <c r="AW28" i="44"/>
  <c r="I15" i="20"/>
  <c r="L15" i="20" s="1"/>
  <c r="S15" i="20"/>
  <c r="AE15" i="20"/>
  <c r="AQ15" i="20"/>
  <c r="BA15" i="20"/>
  <c r="M15" i="20"/>
  <c r="Y15" i="20"/>
  <c r="AK15" i="20"/>
  <c r="R14" i="20"/>
  <c r="AD14" i="20"/>
  <c r="AP14" i="20"/>
  <c r="X14" i="20"/>
  <c r="AJ14" i="20"/>
  <c r="AV14" i="20"/>
  <c r="BE14" i="20"/>
  <c r="V82" i="44"/>
  <c r="AH82" i="44"/>
  <c r="AT82" i="44"/>
  <c r="M82" i="44"/>
  <c r="Y82" i="44"/>
  <c r="AK82" i="44"/>
  <c r="I82" i="44"/>
  <c r="S82" i="44"/>
  <c r="AE82" i="44"/>
  <c r="AQ82" i="44"/>
  <c r="BA82" i="44"/>
  <c r="AJ22" i="20"/>
  <c r="U22" i="20"/>
  <c r="M17" i="20"/>
  <c r="Y17" i="20"/>
  <c r="AK17" i="20"/>
  <c r="I17" i="20"/>
  <c r="L17" i="20" s="1"/>
  <c r="S17" i="20"/>
  <c r="AE17" i="20"/>
  <c r="AQ17" i="20"/>
  <c r="BA17" i="20"/>
  <c r="AP15" i="20"/>
  <c r="V15" i="20"/>
  <c r="AS14" i="20"/>
  <c r="AA14" i="20"/>
  <c r="E45" i="23"/>
  <c r="F45" i="23"/>
  <c r="G55" i="20" s="1"/>
  <c r="E43" i="23"/>
  <c r="F43" i="23"/>
  <c r="G53" i="20" s="1"/>
  <c r="AN88" i="44"/>
  <c r="H21" i="44"/>
  <c r="U18" i="44"/>
  <c r="AG18" i="44"/>
  <c r="AS18" i="44"/>
  <c r="X18" i="44"/>
  <c r="AJ18" i="44"/>
  <c r="AV18" i="44"/>
  <c r="O18" i="44"/>
  <c r="AA18" i="44"/>
  <c r="AM18" i="44"/>
  <c r="R18" i="44"/>
  <c r="AD18" i="44"/>
  <c r="AP18" i="44"/>
  <c r="K18" i="44"/>
  <c r="AY18" i="44"/>
  <c r="AN16" i="20"/>
  <c r="AB16" i="20"/>
  <c r="AN73" i="44"/>
  <c r="AB73" i="44"/>
  <c r="V67" i="44"/>
  <c r="AH67" i="44"/>
  <c r="AT67" i="44"/>
  <c r="M67" i="44"/>
  <c r="Y67" i="44"/>
  <c r="AK67" i="44"/>
  <c r="AN54" i="44"/>
  <c r="V49" i="44"/>
  <c r="AH49" i="44"/>
  <c r="AT49" i="44"/>
  <c r="M49" i="44"/>
  <c r="Y49" i="44"/>
  <c r="AK49" i="44"/>
  <c r="P49" i="44"/>
  <c r="AB49" i="44"/>
  <c r="AN49" i="44"/>
  <c r="AN47" i="44"/>
  <c r="AW44" i="44"/>
  <c r="BA44" i="44"/>
  <c r="P17" i="44"/>
  <c r="AB17" i="44"/>
  <c r="AN17" i="44"/>
  <c r="I17" i="44"/>
  <c r="S17" i="44"/>
  <c r="AE17" i="44"/>
  <c r="AQ17" i="44"/>
  <c r="BA17" i="44"/>
  <c r="V17" i="44"/>
  <c r="AH17" i="44"/>
  <c r="AT17" i="44"/>
  <c r="M17" i="44"/>
  <c r="Y17" i="44"/>
  <c r="AK17" i="44"/>
  <c r="AM78" i="44"/>
  <c r="AA78" i="44"/>
  <c r="O78" i="44"/>
  <c r="AY76" i="44"/>
  <c r="AT73" i="44"/>
  <c r="AH73" i="44"/>
  <c r="I73" i="44"/>
  <c r="AW66" i="44"/>
  <c r="AQ49" i="44"/>
  <c r="S49" i="44"/>
  <c r="AW40" i="44"/>
  <c r="AY40" i="44"/>
  <c r="AY41" i="44" s="1"/>
  <c r="BA40" i="44"/>
  <c r="AW36" i="47"/>
  <c r="AY36" i="47"/>
  <c r="H53" i="44"/>
  <c r="I53" i="44" s="1"/>
  <c r="L53" i="44" s="1"/>
  <c r="K53" i="44"/>
  <c r="M22" i="44"/>
  <c r="Y22" i="44"/>
  <c r="AK22" i="44"/>
  <c r="P22" i="44"/>
  <c r="AE22" i="44"/>
  <c r="AT22" i="44"/>
  <c r="S22" i="44"/>
  <c r="AH22" i="44"/>
  <c r="I22" i="44"/>
  <c r="V22" i="44"/>
  <c r="AN22" i="44"/>
  <c r="BA22" i="44"/>
  <c r="BA73" i="44"/>
  <c r="AZ73" i="44" s="1"/>
  <c r="AQ73" i="44"/>
  <c r="AE73" i="44"/>
  <c r="AW70" i="44"/>
  <c r="I54" i="44"/>
  <c r="S54" i="44"/>
  <c r="AE54" i="44"/>
  <c r="AQ54" i="44"/>
  <c r="BA54" i="44"/>
  <c r="V54" i="44"/>
  <c r="AH54" i="44"/>
  <c r="AT54" i="44"/>
  <c r="M54" i="44"/>
  <c r="Y54" i="44"/>
  <c r="AK54" i="44"/>
  <c r="I47" i="44"/>
  <c r="S47" i="44"/>
  <c r="AE47" i="44"/>
  <c r="AQ47" i="44"/>
  <c r="BA47" i="44"/>
  <c r="V47" i="44"/>
  <c r="AH47" i="44"/>
  <c r="AT47" i="44"/>
  <c r="M47" i="44"/>
  <c r="Y47" i="44"/>
  <c r="AK47" i="44"/>
  <c r="AB22" i="44"/>
  <c r="I27" i="44"/>
  <c r="S27" i="44"/>
  <c r="AE27" i="44"/>
  <c r="AQ27" i="44"/>
  <c r="AT27" i="44"/>
  <c r="P27" i="44"/>
  <c r="AH27" i="44"/>
  <c r="AW27" i="44"/>
  <c r="V27" i="44"/>
  <c r="AK27" i="44"/>
  <c r="Y27" i="44"/>
  <c r="AN27" i="44"/>
  <c r="BA27" i="44"/>
  <c r="BA32" i="47"/>
  <c r="AW32" i="47"/>
  <c r="AY32" i="47"/>
  <c r="P73" i="44"/>
  <c r="AB67" i="44"/>
  <c r="I67" i="44"/>
  <c r="P66" i="44"/>
  <c r="AB66" i="44"/>
  <c r="AN66" i="44"/>
  <c r="I66" i="44"/>
  <c r="L66" i="44"/>
  <c r="S66" i="44"/>
  <c r="AE66" i="44"/>
  <c r="AQ66" i="44"/>
  <c r="BA66" i="44"/>
  <c r="V66" i="44"/>
  <c r="AH66" i="44"/>
  <c r="AT66" i="44"/>
  <c r="U62" i="44"/>
  <c r="AG62" i="44"/>
  <c r="AS62" i="44"/>
  <c r="X62" i="44"/>
  <c r="AJ62" i="44"/>
  <c r="AV62" i="44"/>
  <c r="O62" i="44"/>
  <c r="AA62" i="44"/>
  <c r="AM62" i="44"/>
  <c r="I49" i="44"/>
  <c r="L49" i="44" s="1"/>
  <c r="I43" i="44"/>
  <c r="S43" i="44"/>
  <c r="AE43" i="44"/>
  <c r="AQ43" i="44"/>
  <c r="BA43" i="44"/>
  <c r="V43" i="44"/>
  <c r="AH43" i="44"/>
  <c r="AT43" i="44"/>
  <c r="M43" i="44"/>
  <c r="Y43" i="44"/>
  <c r="AK43" i="44"/>
  <c r="AT55" i="44"/>
  <c r="AH55" i="44"/>
  <c r="V55" i="44"/>
  <c r="AV40" i="44"/>
  <c r="AV41" i="44" s="1"/>
  <c r="AJ40" i="44"/>
  <c r="AJ41" i="44"/>
  <c r="X40" i="44"/>
  <c r="X41" i="44"/>
  <c r="AN19" i="44"/>
  <c r="P19" i="44"/>
  <c r="AS37" i="47"/>
  <c r="X36" i="47"/>
  <c r="AJ36" i="47"/>
  <c r="AV36" i="47"/>
  <c r="R36" i="47"/>
  <c r="AD36" i="47"/>
  <c r="AP36" i="47"/>
  <c r="K36" i="47"/>
  <c r="L35" i="47"/>
  <c r="I20" i="44"/>
  <c r="S20" i="44"/>
  <c r="AE20" i="44"/>
  <c r="AQ20" i="44"/>
  <c r="M20" i="44"/>
  <c r="Y20" i="44"/>
  <c r="AK20" i="44"/>
  <c r="AW16" i="44"/>
  <c r="AG37" i="47"/>
  <c r="AS36" i="47"/>
  <c r="AW26" i="47"/>
  <c r="AK21" i="47"/>
  <c r="P21" i="47"/>
  <c r="AN21" i="47"/>
  <c r="AQ21" i="47"/>
  <c r="BA21" i="47"/>
  <c r="R110" i="19"/>
  <c r="AD110" i="19"/>
  <c r="AP110" i="19"/>
  <c r="X110" i="19"/>
  <c r="AJ110" i="19"/>
  <c r="AV110" i="19"/>
  <c r="AM110" i="19"/>
  <c r="K110" i="19"/>
  <c r="AA110" i="19"/>
  <c r="AS110" i="19"/>
  <c r="O110" i="19"/>
  <c r="U110" i="19"/>
  <c r="AY110" i="19"/>
  <c r="AG110" i="19"/>
  <c r="AN63" i="44"/>
  <c r="AB63" i="44"/>
  <c r="P63" i="44"/>
  <c r="AW22" i="44"/>
  <c r="M19" i="44"/>
  <c r="Y19" i="44"/>
  <c r="AK19" i="44"/>
  <c r="AW19" i="44"/>
  <c r="I19" i="44"/>
  <c r="S19" i="44"/>
  <c r="AE19" i="44"/>
  <c r="AQ19" i="44"/>
  <c r="BA19" i="44"/>
  <c r="AA37" i="47"/>
  <c r="AM36" i="47"/>
  <c r="BA18" i="47"/>
  <c r="AW18" i="47"/>
  <c r="AY18" i="47"/>
  <c r="AN55" i="44"/>
  <c r="AB55" i="44"/>
  <c r="K49" i="44"/>
  <c r="AP40" i="44"/>
  <c r="AP41" i="44"/>
  <c r="AD40" i="44"/>
  <c r="AD41" i="44"/>
  <c r="AB19" i="44"/>
  <c r="P13" i="44"/>
  <c r="AB13" i="44"/>
  <c r="AN13" i="44"/>
  <c r="I13" i="44"/>
  <c r="S13" i="44"/>
  <c r="AE13" i="44"/>
  <c r="AQ13" i="44"/>
  <c r="BA13" i="44"/>
  <c r="V13" i="44"/>
  <c r="AH13" i="44"/>
  <c r="AT13" i="44"/>
  <c r="M13" i="44"/>
  <c r="Y13" i="44"/>
  <c r="AK13" i="44"/>
  <c r="AW13" i="44"/>
  <c r="E69" i="42"/>
  <c r="F69" i="42" s="1"/>
  <c r="G64" i="44" s="1"/>
  <c r="F70" i="42"/>
  <c r="G65" i="44" s="1"/>
  <c r="H65" i="44" s="1"/>
  <c r="U37" i="47"/>
  <c r="AG36" i="47"/>
  <c r="V34" i="47"/>
  <c r="AH34" i="47"/>
  <c r="AT34" i="47"/>
  <c r="M34" i="47"/>
  <c r="Y34" i="47"/>
  <c r="AK34" i="47"/>
  <c r="P34" i="47"/>
  <c r="AB34" i="47"/>
  <c r="AN34" i="47"/>
  <c r="I34" i="47"/>
  <c r="L34" i="47" s="1"/>
  <c r="S34" i="47"/>
  <c r="AE34" i="47"/>
  <c r="AQ34" i="47"/>
  <c r="BA34" i="47"/>
  <c r="BB119" i="19"/>
  <c r="AZ119" i="19"/>
  <c r="U119" i="19"/>
  <c r="AG119" i="19"/>
  <c r="AS119" i="19"/>
  <c r="K119" i="19"/>
  <c r="L119" i="19"/>
  <c r="X119" i="19"/>
  <c r="AJ119" i="19"/>
  <c r="AV119" i="19"/>
  <c r="O119" i="19"/>
  <c r="AA119" i="19"/>
  <c r="AM119" i="19"/>
  <c r="R119" i="19"/>
  <c r="AD119" i="19"/>
  <c r="AP119" i="19"/>
  <c r="AY119" i="19"/>
  <c r="AW63" i="44"/>
  <c r="AK63" i="44"/>
  <c r="Y63" i="44"/>
  <c r="M63" i="44"/>
  <c r="AP53" i="44"/>
  <c r="AD53" i="44"/>
  <c r="R53" i="44"/>
  <c r="AN44" i="44"/>
  <c r="AB44" i="44"/>
  <c r="P44" i="44"/>
  <c r="AN40" i="44"/>
  <c r="AB40" i="44"/>
  <c r="P40" i="44"/>
  <c r="I25" i="44"/>
  <c r="S25" i="44"/>
  <c r="AE25" i="44"/>
  <c r="AQ25" i="44"/>
  <c r="BA25" i="44"/>
  <c r="S18" i="44"/>
  <c r="E87" i="42"/>
  <c r="F87" i="42" s="1"/>
  <c r="G79" i="44" s="1"/>
  <c r="F50" i="42"/>
  <c r="AA36" i="47"/>
  <c r="R37" i="47"/>
  <c r="AD37" i="47"/>
  <c r="AP37" i="47"/>
  <c r="K37" i="47"/>
  <c r="X37" i="47"/>
  <c r="AJ37" i="47"/>
  <c r="AV37" i="47"/>
  <c r="V22" i="47"/>
  <c r="AH22" i="47"/>
  <c r="AT22" i="47"/>
  <c r="M22" i="47"/>
  <c r="Y22" i="47"/>
  <c r="AK22" i="47"/>
  <c r="P22" i="47"/>
  <c r="AB22" i="47"/>
  <c r="AN22" i="47"/>
  <c r="I22" i="47"/>
  <c r="L22" i="47" s="1"/>
  <c r="S22" i="47"/>
  <c r="AE22" i="47"/>
  <c r="AQ22" i="47"/>
  <c r="BA22" i="47"/>
  <c r="AT63" i="44"/>
  <c r="AH63" i="44"/>
  <c r="AM53" i="44"/>
  <c r="AA53" i="44"/>
  <c r="AH50" i="44"/>
  <c r="AP49" i="44"/>
  <c r="AD49" i="44"/>
  <c r="AK44" i="44"/>
  <c r="Y44" i="44"/>
  <c r="AK40" i="44"/>
  <c r="Y40" i="44"/>
  <c r="AK25" i="44"/>
  <c r="AW37" i="47"/>
  <c r="AY37" i="47"/>
  <c r="I37" i="47"/>
  <c r="L37" i="47"/>
  <c r="S37" i="47"/>
  <c r="AE37" i="47"/>
  <c r="AQ37" i="47"/>
  <c r="BA37" i="47"/>
  <c r="V37" i="47"/>
  <c r="AH37" i="47"/>
  <c r="AT37" i="47"/>
  <c r="M37" i="47"/>
  <c r="Y37" i="47"/>
  <c r="AK37" i="47"/>
  <c r="P37" i="47"/>
  <c r="AB37" i="47"/>
  <c r="AN37" i="47"/>
  <c r="O36" i="47"/>
  <c r="AW22" i="47"/>
  <c r="AH21" i="47"/>
  <c r="AW17" i="44"/>
  <c r="AT36" i="47"/>
  <c r="AH36" i="47"/>
  <c r="V36" i="47"/>
  <c r="AW30" i="47"/>
  <c r="AK30" i="47"/>
  <c r="Y30" i="47"/>
  <c r="M30" i="47"/>
  <c r="V28" i="47"/>
  <c r="AW23" i="47"/>
  <c r="AK23" i="47"/>
  <c r="Y23" i="47"/>
  <c r="M23" i="47"/>
  <c r="BB115" i="19"/>
  <c r="AZ115" i="19"/>
  <c r="U115" i="19"/>
  <c r="AG115" i="19"/>
  <c r="AS115" i="19"/>
  <c r="K115" i="19"/>
  <c r="X115" i="19"/>
  <c r="AJ115" i="19"/>
  <c r="AV115" i="19"/>
  <c r="O115" i="19"/>
  <c r="AA115" i="19"/>
  <c r="AM115" i="19"/>
  <c r="R115" i="19"/>
  <c r="AD115" i="19"/>
  <c r="AP115" i="19"/>
  <c r="R108" i="19"/>
  <c r="AD108" i="19"/>
  <c r="AP108" i="19"/>
  <c r="L108" i="19"/>
  <c r="X108" i="19"/>
  <c r="AJ108" i="19"/>
  <c r="AV108" i="19"/>
  <c r="O108" i="19"/>
  <c r="AA108" i="19"/>
  <c r="AM108" i="19"/>
  <c r="AS108" i="19"/>
  <c r="K108" i="19"/>
  <c r="AG108" i="19"/>
  <c r="AY108" i="19"/>
  <c r="U108" i="19"/>
  <c r="E26" i="42"/>
  <c r="BA36" i="47"/>
  <c r="AQ36" i="47"/>
  <c r="AE36" i="47"/>
  <c r="S36" i="47"/>
  <c r="I36" i="47"/>
  <c r="L36" i="47" s="1"/>
  <c r="AV35" i="47"/>
  <c r="AJ35" i="47"/>
  <c r="X35" i="47"/>
  <c r="AY34" i="47"/>
  <c r="AP31" i="47"/>
  <c r="AD31" i="47"/>
  <c r="R31" i="47"/>
  <c r="AT30" i="47"/>
  <c r="AH30" i="47"/>
  <c r="V30" i="47"/>
  <c r="K30" i="47"/>
  <c r="AM29" i="47"/>
  <c r="AA29" i="47"/>
  <c r="O29" i="47"/>
  <c r="BA28" i="47"/>
  <c r="AQ28" i="47"/>
  <c r="AE28" i="47"/>
  <c r="S28" i="47"/>
  <c r="I28" i="47"/>
  <c r="AV27" i="47"/>
  <c r="AJ27" i="47"/>
  <c r="X27" i="47"/>
  <c r="AY26" i="47"/>
  <c r="AQ24" i="47"/>
  <c r="S24" i="47"/>
  <c r="AT23" i="47"/>
  <c r="AH23" i="47"/>
  <c r="V23" i="47"/>
  <c r="K23" i="47"/>
  <c r="AY22" i="47"/>
  <c r="AM20" i="47"/>
  <c r="AA20" i="47"/>
  <c r="AK18" i="47"/>
  <c r="Y18" i="47"/>
  <c r="M18" i="47"/>
  <c r="AP17" i="47"/>
  <c r="AD17" i="47"/>
  <c r="R17" i="47"/>
  <c r="K16" i="47"/>
  <c r="U15" i="47"/>
  <c r="AS14" i="47"/>
  <c r="AD14" i="47"/>
  <c r="O122" i="19"/>
  <c r="AA122" i="19"/>
  <c r="AM122" i="19"/>
  <c r="R122" i="19"/>
  <c r="AD122" i="19"/>
  <c r="AP122" i="19"/>
  <c r="U122" i="19"/>
  <c r="AG122" i="19"/>
  <c r="AS122" i="19"/>
  <c r="X122" i="19"/>
  <c r="AJ122" i="19"/>
  <c r="AV122" i="19"/>
  <c r="J17" i="44"/>
  <c r="AP17" i="44" s="1"/>
  <c r="AV32" i="47"/>
  <c r="AJ32" i="47"/>
  <c r="X32" i="47"/>
  <c r="L32" i="47"/>
  <c r="M29" i="47"/>
  <c r="AE19" i="47"/>
  <c r="S19" i="47"/>
  <c r="I19" i="47"/>
  <c r="L19" i="47" s="1"/>
  <c r="AV18" i="47"/>
  <c r="AJ18" i="47"/>
  <c r="X18" i="47"/>
  <c r="AY17" i="47"/>
  <c r="AJ15" i="47"/>
  <c r="O124" i="19"/>
  <c r="AA124" i="19"/>
  <c r="AM124" i="19"/>
  <c r="R124" i="19"/>
  <c r="AD124" i="19"/>
  <c r="AP124" i="19"/>
  <c r="U124" i="19"/>
  <c r="AG124" i="19"/>
  <c r="AS124" i="19"/>
  <c r="X124" i="19"/>
  <c r="AJ124" i="19"/>
  <c r="AV124" i="19"/>
  <c r="AN36" i="47"/>
  <c r="AB36" i="47"/>
  <c r="P36" i="47"/>
  <c r="K32" i="47"/>
  <c r="AM31" i="47"/>
  <c r="AA31" i="47"/>
  <c r="O31" i="47"/>
  <c r="BA30" i="47"/>
  <c r="AZ30" i="47" s="1"/>
  <c r="AQ30" i="47"/>
  <c r="AE30" i="47"/>
  <c r="S30" i="47"/>
  <c r="I30" i="47"/>
  <c r="L30" i="47"/>
  <c r="X29" i="47"/>
  <c r="AN28" i="47"/>
  <c r="AB28" i="47"/>
  <c r="P28" i="47"/>
  <c r="BA23" i="47"/>
  <c r="AQ23" i="47"/>
  <c r="AE23" i="47"/>
  <c r="S23" i="47"/>
  <c r="I23" i="47"/>
  <c r="L23" i="47"/>
  <c r="K18" i="47"/>
  <c r="AM17" i="47"/>
  <c r="AA17" i="47"/>
  <c r="O17" i="47"/>
  <c r="AV15" i="47"/>
  <c r="AG15" i="47"/>
  <c r="R15" i="47"/>
  <c r="BB121" i="19"/>
  <c r="AZ121" i="19"/>
  <c r="U121" i="19"/>
  <c r="AG121" i="19"/>
  <c r="AS121" i="19"/>
  <c r="K121" i="19"/>
  <c r="X121" i="19"/>
  <c r="AJ121" i="19"/>
  <c r="AV121" i="19"/>
  <c r="O121" i="19"/>
  <c r="AA121" i="19"/>
  <c r="AM121" i="19"/>
  <c r="R121" i="19"/>
  <c r="AD121" i="19"/>
  <c r="AP121" i="19"/>
  <c r="O118" i="19"/>
  <c r="AA118" i="19"/>
  <c r="AM118" i="19"/>
  <c r="AY118" i="19"/>
  <c r="R118" i="19"/>
  <c r="AD118" i="19"/>
  <c r="AP118" i="19"/>
  <c r="U118" i="19"/>
  <c r="AG118" i="19"/>
  <c r="AS118" i="19"/>
  <c r="L118" i="19"/>
  <c r="X118" i="19"/>
  <c r="AJ118" i="19"/>
  <c r="AV118" i="19"/>
  <c r="X111" i="19"/>
  <c r="AJ111" i="19"/>
  <c r="R111" i="19"/>
  <c r="AD111" i="19"/>
  <c r="O111" i="19"/>
  <c r="AS111" i="19"/>
  <c r="AG111" i="19"/>
  <c r="AV111" i="19"/>
  <c r="U111" i="19"/>
  <c r="AM111" i="19"/>
  <c r="K111" i="19"/>
  <c r="AA111" i="19"/>
  <c r="AP111" i="19"/>
  <c r="AK36" i="47"/>
  <c r="Y36" i="47"/>
  <c r="AV31" i="47"/>
  <c r="AJ31" i="47"/>
  <c r="X31" i="47"/>
  <c r="AY30" i="47"/>
  <c r="AN30" i="47"/>
  <c r="AB30" i="47"/>
  <c r="AK28" i="47"/>
  <c r="Y28" i="47"/>
  <c r="AY23" i="47"/>
  <c r="AN23" i="47"/>
  <c r="AB23" i="47"/>
  <c r="AA19" i="47"/>
  <c r="AE18" i="47"/>
  <c r="S18" i="47"/>
  <c r="AV17" i="47"/>
  <c r="AJ17" i="47"/>
  <c r="X17" i="47"/>
  <c r="L17" i="47"/>
  <c r="AD15" i="47"/>
  <c r="U14" i="47"/>
  <c r="P14" i="47"/>
  <c r="AB14" i="47"/>
  <c r="AN14" i="47"/>
  <c r="V14" i="47"/>
  <c r="AH14" i="47"/>
  <c r="AT14" i="47"/>
  <c r="R13" i="47"/>
  <c r="AD13" i="47"/>
  <c r="AP13" i="47"/>
  <c r="U13" i="47"/>
  <c r="AG13" i="47"/>
  <c r="AS13" i="47"/>
  <c r="O13" i="47"/>
  <c r="AA13" i="47"/>
  <c r="AM13" i="47"/>
  <c r="U123" i="19"/>
  <c r="AG123" i="19"/>
  <c r="AS123" i="19"/>
  <c r="X123" i="19"/>
  <c r="AJ123" i="19"/>
  <c r="AV123" i="19"/>
  <c r="O123" i="19"/>
  <c r="AA123" i="19"/>
  <c r="AM123" i="19"/>
  <c r="R123" i="19"/>
  <c r="AD123" i="19"/>
  <c r="AP123" i="19"/>
  <c r="U117" i="19"/>
  <c r="AG117" i="19"/>
  <c r="AS117" i="19"/>
  <c r="K117" i="19"/>
  <c r="L117" i="19"/>
  <c r="X117" i="19"/>
  <c r="AJ117" i="19"/>
  <c r="AV117" i="19"/>
  <c r="O117" i="19"/>
  <c r="AA117" i="19"/>
  <c r="AM117" i="19"/>
  <c r="R117" i="19"/>
  <c r="AD117" i="19"/>
  <c r="AP117" i="19"/>
  <c r="AK38" i="47"/>
  <c r="Y38" i="47"/>
  <c r="AN35" i="47"/>
  <c r="AB35" i="47"/>
  <c r="AK33" i="47"/>
  <c r="Y33" i="47"/>
  <c r="AP32" i="47"/>
  <c r="AD32" i="47"/>
  <c r="AM30" i="47"/>
  <c r="AA30" i="47"/>
  <c r="BA29" i="47"/>
  <c r="AQ29" i="47"/>
  <c r="AE29" i="47"/>
  <c r="S29" i="47"/>
  <c r="AN27" i="47"/>
  <c r="AB27" i="47"/>
  <c r="AK25" i="47"/>
  <c r="Y25" i="47"/>
  <c r="AM23" i="47"/>
  <c r="AA23" i="47"/>
  <c r="AK19" i="47"/>
  <c r="Y19" i="47"/>
  <c r="AP18" i="47"/>
  <c r="AD18" i="47"/>
  <c r="AM16" i="47"/>
  <c r="AA16" i="47"/>
  <c r="AP15" i="47"/>
  <c r="AA15" i="47"/>
  <c r="AY14" i="47"/>
  <c r="AJ14" i="47"/>
  <c r="U125" i="19"/>
  <c r="AG125" i="19"/>
  <c r="AS125" i="19"/>
  <c r="X125" i="19"/>
  <c r="AJ125" i="19"/>
  <c r="AV125" i="19"/>
  <c r="O125" i="19"/>
  <c r="AA125" i="19"/>
  <c r="AM125" i="19"/>
  <c r="R125" i="19"/>
  <c r="AD125" i="19"/>
  <c r="AP125" i="19"/>
  <c r="O120" i="19"/>
  <c r="AA120" i="19"/>
  <c r="AM120" i="19"/>
  <c r="AY120" i="19"/>
  <c r="R120" i="19"/>
  <c r="AD120" i="19"/>
  <c r="AP120" i="19"/>
  <c r="U120" i="19"/>
  <c r="AG120" i="19"/>
  <c r="AS120" i="19"/>
  <c r="L120" i="19"/>
  <c r="X120" i="19"/>
  <c r="AJ120" i="19"/>
  <c r="AV120" i="19"/>
  <c r="AY115" i="19"/>
  <c r="U113" i="19"/>
  <c r="AG113" i="19"/>
  <c r="AS113" i="19"/>
  <c r="K113" i="19"/>
  <c r="X113" i="19"/>
  <c r="AJ113" i="19"/>
  <c r="AV113" i="19"/>
  <c r="O113" i="19"/>
  <c r="AA113" i="19"/>
  <c r="AM113" i="19"/>
  <c r="R113" i="19"/>
  <c r="AD113" i="19"/>
  <c r="AP113" i="19"/>
  <c r="AS106" i="19"/>
  <c r="K105" i="19"/>
  <c r="X105" i="19"/>
  <c r="AJ105" i="19"/>
  <c r="AV105" i="19"/>
  <c r="AS104" i="19"/>
  <c r="AA103" i="19"/>
  <c r="AV116" i="19"/>
  <c r="AJ116" i="19"/>
  <c r="X116" i="19"/>
  <c r="L116" i="19"/>
  <c r="AV114" i="19"/>
  <c r="AJ114" i="19"/>
  <c r="X114" i="19"/>
  <c r="L114" i="19"/>
  <c r="AV112" i="19"/>
  <c r="AJ112" i="19"/>
  <c r="X112" i="19"/>
  <c r="L112" i="19"/>
  <c r="X109" i="19"/>
  <c r="AJ109" i="19"/>
  <c r="AV109" i="19"/>
  <c r="R109" i="19"/>
  <c r="AD109" i="19"/>
  <c r="AP109" i="19"/>
  <c r="U109" i="19"/>
  <c r="AG109" i="19"/>
  <c r="O106" i="19"/>
  <c r="AD105" i="19"/>
  <c r="V105" i="19"/>
  <c r="AH105" i="19"/>
  <c r="AT105" i="19"/>
  <c r="P105" i="19"/>
  <c r="AB105" i="19"/>
  <c r="AN105" i="19"/>
  <c r="I105" i="19"/>
  <c r="L105" i="19"/>
  <c r="S105" i="19"/>
  <c r="AE105" i="19"/>
  <c r="AQ105" i="19"/>
  <c r="BA105" i="19"/>
  <c r="O104" i="19"/>
  <c r="U103" i="19"/>
  <c r="AY98" i="19"/>
  <c r="BA107" i="19"/>
  <c r="AA106" i="19"/>
  <c r="AY105" i="19"/>
  <c r="AA105" i="19"/>
  <c r="AA104" i="19"/>
  <c r="AW103" i="19"/>
  <c r="AY103" i="19"/>
  <c r="R103" i="19"/>
  <c r="AM102" i="19"/>
  <c r="V101" i="19"/>
  <c r="AH101" i="19"/>
  <c r="AT101" i="19"/>
  <c r="M101" i="19"/>
  <c r="Y101" i="19"/>
  <c r="AK101" i="19"/>
  <c r="P101" i="19"/>
  <c r="AB101" i="19"/>
  <c r="AN101" i="19"/>
  <c r="I101" i="19"/>
  <c r="L101" i="19"/>
  <c r="S101" i="19"/>
  <c r="AE101" i="19"/>
  <c r="AQ101" i="19"/>
  <c r="BA101" i="19"/>
  <c r="U100" i="19"/>
  <c r="AW99" i="19"/>
  <c r="AY99" i="19"/>
  <c r="BA109" i="19"/>
  <c r="AY107" i="19"/>
  <c r="AM106" i="19"/>
  <c r="AW105" i="19"/>
  <c r="AM104" i="19"/>
  <c r="AS103" i="19"/>
  <c r="R106" i="19"/>
  <c r="AD106" i="19"/>
  <c r="AP106" i="19"/>
  <c r="K106" i="19"/>
  <c r="R104" i="19"/>
  <c r="AD104" i="19"/>
  <c r="AP104" i="19"/>
  <c r="K104" i="19"/>
  <c r="K103" i="19"/>
  <c r="X103" i="19"/>
  <c r="AJ103" i="19"/>
  <c r="AV103" i="19"/>
  <c r="AP116" i="19"/>
  <c r="AD116" i="19"/>
  <c r="R116" i="19"/>
  <c r="AP114" i="19"/>
  <c r="AD114" i="19"/>
  <c r="R114" i="19"/>
  <c r="AP112" i="19"/>
  <c r="AD112" i="19"/>
  <c r="R112" i="19"/>
  <c r="AY106" i="19"/>
  <c r="AW106" i="19"/>
  <c r="AJ106" i="19"/>
  <c r="AP105" i="19"/>
  <c r="R105" i="19"/>
  <c r="AY104" i="19"/>
  <c r="AW104" i="19"/>
  <c r="AJ104" i="19"/>
  <c r="AM103" i="19"/>
  <c r="V103" i="19"/>
  <c r="AH103" i="19"/>
  <c r="AT103" i="19"/>
  <c r="M103" i="19"/>
  <c r="Y103" i="19"/>
  <c r="AK103" i="19"/>
  <c r="P103" i="19"/>
  <c r="AB103" i="19"/>
  <c r="AN103" i="19"/>
  <c r="I103" i="19"/>
  <c r="L103" i="19"/>
  <c r="S103" i="19"/>
  <c r="AE103" i="19"/>
  <c r="AQ103" i="19"/>
  <c r="BA103" i="19"/>
  <c r="AG100" i="19"/>
  <c r="AY114" i="19"/>
  <c r="AH113" i="19"/>
  <c r="AN112" i="19"/>
  <c r="AB112" i="19"/>
  <c r="K109" i="19"/>
  <c r="AV106" i="19"/>
  <c r="U106" i="19"/>
  <c r="AM105" i="19"/>
  <c r="O105" i="19"/>
  <c r="AV104" i="19"/>
  <c r="U104" i="19"/>
  <c r="AG103" i="19"/>
  <c r="U102" i="19"/>
  <c r="O100" i="19"/>
  <c r="AA100" i="19"/>
  <c r="AM100" i="19"/>
  <c r="R100" i="19"/>
  <c r="AD100" i="19"/>
  <c r="AP100" i="19"/>
  <c r="K100" i="19"/>
  <c r="O98" i="19"/>
  <c r="AA98" i="19"/>
  <c r="AM98" i="19"/>
  <c r="R98" i="19"/>
  <c r="AD98" i="19"/>
  <c r="AP98" i="19"/>
  <c r="K98" i="19"/>
  <c r="X98" i="19"/>
  <c r="AJ98" i="19"/>
  <c r="AV98" i="19"/>
  <c r="AM116" i="19"/>
  <c r="AA116" i="19"/>
  <c r="AM114" i="19"/>
  <c r="AA114" i="19"/>
  <c r="AM112" i="19"/>
  <c r="AA112" i="19"/>
  <c r="AG106" i="19"/>
  <c r="AG104" i="19"/>
  <c r="AD103" i="19"/>
  <c r="AW101" i="19"/>
  <c r="AY101" i="19"/>
  <c r="BB98" i="19"/>
  <c r="AG98" i="19"/>
  <c r="AW102" i="19"/>
  <c r="AW100" i="19"/>
  <c r="BA99" i="19"/>
  <c r="AQ99" i="19"/>
  <c r="AE99" i="19"/>
  <c r="S99" i="19"/>
  <c r="I99" i="19"/>
  <c r="L99" i="19" s="1"/>
  <c r="AW98" i="19"/>
  <c r="BA97" i="19"/>
  <c r="AQ97" i="19"/>
  <c r="AE97" i="19"/>
  <c r="S97" i="19"/>
  <c r="I97" i="19"/>
  <c r="L97" i="19" s="1"/>
  <c r="AW96" i="19"/>
  <c r="BA95" i="19"/>
  <c r="BB95" i="19" s="1"/>
  <c r="AQ95" i="19"/>
  <c r="AE95" i="19"/>
  <c r="S95" i="19"/>
  <c r="I95" i="19"/>
  <c r="L95" i="19"/>
  <c r="AW94" i="19"/>
  <c r="BA93" i="19"/>
  <c r="AQ93" i="19"/>
  <c r="AE93" i="19"/>
  <c r="S93" i="19"/>
  <c r="I93" i="19"/>
  <c r="AW92" i="19"/>
  <c r="AK92" i="19"/>
  <c r="Y92" i="19"/>
  <c r="M92" i="19"/>
  <c r="R90" i="19"/>
  <c r="AJ89" i="19"/>
  <c r="R89" i="19"/>
  <c r="AJ88" i="19"/>
  <c r="O88" i="19"/>
  <c r="AY85" i="19"/>
  <c r="AW85" i="19"/>
  <c r="AE85" i="19"/>
  <c r="K84" i="19"/>
  <c r="O84" i="19"/>
  <c r="P83" i="19"/>
  <c r="AB83" i="19"/>
  <c r="AN83" i="19"/>
  <c r="V83" i="19"/>
  <c r="AH83" i="19"/>
  <c r="AT83" i="19"/>
  <c r="M83" i="19"/>
  <c r="Y83" i="19"/>
  <c r="AK83" i="19"/>
  <c r="AP80" i="19"/>
  <c r="R80" i="19"/>
  <c r="AY79" i="19"/>
  <c r="AW79" i="19"/>
  <c r="AE79" i="19"/>
  <c r="AW78" i="19"/>
  <c r="AJ76" i="19"/>
  <c r="P75" i="19"/>
  <c r="AB75" i="19"/>
  <c r="AN75" i="19"/>
  <c r="I75" i="19"/>
  <c r="L75" i="19" s="1"/>
  <c r="V75" i="19"/>
  <c r="AH75" i="19"/>
  <c r="AT75" i="19"/>
  <c r="M75" i="19"/>
  <c r="Y75" i="19"/>
  <c r="AK75" i="19"/>
  <c r="AV96" i="19"/>
  <c r="AJ96" i="19"/>
  <c r="X96" i="19"/>
  <c r="L96" i="19"/>
  <c r="AY87" i="19"/>
  <c r="AW87" i="19"/>
  <c r="V84" i="19"/>
  <c r="AH84" i="19"/>
  <c r="AT84" i="19"/>
  <c r="P84" i="19"/>
  <c r="AB84" i="19"/>
  <c r="AN84" i="19"/>
  <c r="I84" i="19"/>
  <c r="S84" i="19"/>
  <c r="AE84" i="19"/>
  <c r="AQ84" i="19"/>
  <c r="BA84" i="19"/>
  <c r="K76" i="19"/>
  <c r="O76" i="19"/>
  <c r="AA76" i="19"/>
  <c r="AM76" i="19"/>
  <c r="AP107" i="19"/>
  <c r="AD107" i="19"/>
  <c r="R107" i="19"/>
  <c r="AN99" i="19"/>
  <c r="AB99" i="19"/>
  <c r="P99" i="19"/>
  <c r="AY97" i="19"/>
  <c r="AN97" i="19"/>
  <c r="AB97" i="19"/>
  <c r="P97" i="19"/>
  <c r="K96" i="19"/>
  <c r="AY95" i="19"/>
  <c r="AN95" i="19"/>
  <c r="AB95" i="19"/>
  <c r="P95" i="19"/>
  <c r="K94" i="19"/>
  <c r="AY93" i="19"/>
  <c r="AN93" i="19"/>
  <c r="AB93" i="19"/>
  <c r="P93" i="19"/>
  <c r="AT92" i="19"/>
  <c r="AH92" i="19"/>
  <c r="V92" i="19"/>
  <c r="AW91" i="19"/>
  <c r="AG91" i="19"/>
  <c r="O91" i="19"/>
  <c r="AY90" i="19"/>
  <c r="AG90" i="19"/>
  <c r="AY89" i="19"/>
  <c r="AW89" i="19"/>
  <c r="L89" i="19"/>
  <c r="AW88" i="19"/>
  <c r="AD88" i="19"/>
  <c r="AS85" i="19"/>
  <c r="AA85" i="19"/>
  <c r="AS84" i="19"/>
  <c r="Y84" i="19"/>
  <c r="S83" i="19"/>
  <c r="AJ80" i="19"/>
  <c r="AS78" i="19"/>
  <c r="AZ77" i="19"/>
  <c r="AY76" i="19"/>
  <c r="AD76" i="19"/>
  <c r="V76" i="19"/>
  <c r="AH76" i="19"/>
  <c r="AT76" i="19"/>
  <c r="P76" i="19"/>
  <c r="AB76" i="19"/>
  <c r="AN76" i="19"/>
  <c r="I76" i="19"/>
  <c r="L76" i="19"/>
  <c r="S76" i="19"/>
  <c r="AE76" i="19"/>
  <c r="AQ76" i="19"/>
  <c r="BA76" i="19"/>
  <c r="AZ76" i="19" s="1"/>
  <c r="V86" i="19"/>
  <c r="AH86" i="19"/>
  <c r="AT86" i="19"/>
  <c r="P86" i="19"/>
  <c r="AB86" i="19"/>
  <c r="AN86" i="19"/>
  <c r="I86" i="19"/>
  <c r="L86" i="19" s="1"/>
  <c r="S86" i="19"/>
  <c r="AE86" i="19"/>
  <c r="AQ86" i="19"/>
  <c r="BA86" i="19"/>
  <c r="X85" i="19"/>
  <c r="P85" i="19"/>
  <c r="AB85" i="19"/>
  <c r="AN85" i="19"/>
  <c r="V85" i="19"/>
  <c r="AH85" i="19"/>
  <c r="AT85" i="19"/>
  <c r="M85" i="19"/>
  <c r="Y85" i="19"/>
  <c r="AK85" i="19"/>
  <c r="K80" i="19"/>
  <c r="O80" i="19"/>
  <c r="AA80" i="19"/>
  <c r="AM80" i="19"/>
  <c r="P79" i="19"/>
  <c r="AB79" i="19"/>
  <c r="AN79" i="19"/>
  <c r="V79" i="19"/>
  <c r="AH79" i="19"/>
  <c r="AT79" i="19"/>
  <c r="M79" i="19"/>
  <c r="Y79" i="19"/>
  <c r="AK79" i="19"/>
  <c r="AY77" i="19"/>
  <c r="AW77" i="19"/>
  <c r="AY55" i="19"/>
  <c r="AW55" i="19"/>
  <c r="BA102" i="19"/>
  <c r="BA100" i="19"/>
  <c r="AK99" i="19"/>
  <c r="Y99" i="19"/>
  <c r="M99" i="19"/>
  <c r="AK97" i="19"/>
  <c r="Y97" i="19"/>
  <c r="M97" i="19"/>
  <c r="AK95" i="19"/>
  <c r="Y95" i="19"/>
  <c r="M95" i="19"/>
  <c r="AK93" i="19"/>
  <c r="Y93" i="19"/>
  <c r="M93" i="19"/>
  <c r="AS89" i="19"/>
  <c r="AA89" i="19"/>
  <c r="AS88" i="19"/>
  <c r="V88" i="19"/>
  <c r="AH88" i="19"/>
  <c r="AT88" i="19"/>
  <c r="P88" i="19"/>
  <c r="AB88" i="19"/>
  <c r="AN88" i="19"/>
  <c r="I88" i="19"/>
  <c r="L88" i="19" s="1"/>
  <c r="S88" i="19"/>
  <c r="AE88" i="19"/>
  <c r="AQ88" i="19"/>
  <c r="BA88" i="19"/>
  <c r="P87" i="19"/>
  <c r="AB87" i="19"/>
  <c r="AN87" i="19"/>
  <c r="V87" i="19"/>
  <c r="AH87" i="19"/>
  <c r="AT87" i="19"/>
  <c r="M87" i="19"/>
  <c r="Y87" i="19"/>
  <c r="AK87" i="19"/>
  <c r="AP85" i="19"/>
  <c r="U85" i="19"/>
  <c r="AZ83" i="19"/>
  <c r="AD80" i="19"/>
  <c r="V80" i="19"/>
  <c r="AH80" i="19"/>
  <c r="AT80" i="19"/>
  <c r="P80" i="19"/>
  <c r="AB80" i="19"/>
  <c r="AN80" i="19"/>
  <c r="I80" i="19"/>
  <c r="L80" i="19" s="1"/>
  <c r="S80" i="19"/>
  <c r="AE80" i="19"/>
  <c r="AQ80" i="19"/>
  <c r="BA80" i="19"/>
  <c r="AV101" i="19"/>
  <c r="AJ101" i="19"/>
  <c r="X101" i="19"/>
  <c r="AV99" i="19"/>
  <c r="AJ99" i="19"/>
  <c r="X99" i="19"/>
  <c r="AV97" i="19"/>
  <c r="AJ97" i="19"/>
  <c r="X97" i="19"/>
  <c r="AP96" i="19"/>
  <c r="AD96" i="19"/>
  <c r="R96" i="19"/>
  <c r="AV95" i="19"/>
  <c r="AJ95" i="19"/>
  <c r="X95" i="19"/>
  <c r="AP94" i="19"/>
  <c r="AD94" i="19"/>
  <c r="R94" i="19"/>
  <c r="AV93" i="19"/>
  <c r="AJ93" i="19"/>
  <c r="X93" i="19"/>
  <c r="L93" i="19"/>
  <c r="AA91" i="19"/>
  <c r="AS90" i="19"/>
  <c r="V90" i="19"/>
  <c r="AH90" i="19"/>
  <c r="AT90" i="19"/>
  <c r="P90" i="19"/>
  <c r="AB90" i="19"/>
  <c r="AN90" i="19"/>
  <c r="I90" i="19"/>
  <c r="L90" i="19" s="1"/>
  <c r="S90" i="19"/>
  <c r="AE90" i="19"/>
  <c r="AQ90" i="19"/>
  <c r="BA90" i="19"/>
  <c r="X89" i="19"/>
  <c r="P89" i="19"/>
  <c r="AB89" i="19"/>
  <c r="AN89" i="19"/>
  <c r="V89" i="19"/>
  <c r="AH89" i="19"/>
  <c r="AT89" i="19"/>
  <c r="M89" i="19"/>
  <c r="Y89" i="19"/>
  <c r="AK89" i="19"/>
  <c r="AP88" i="19"/>
  <c r="X88" i="19"/>
  <c r="AM85" i="19"/>
  <c r="S85" i="19"/>
  <c r="AK84" i="19"/>
  <c r="AY83" i="19"/>
  <c r="AW83" i="19"/>
  <c r="AW80" i="19"/>
  <c r="Y80" i="19"/>
  <c r="S79" i="19"/>
  <c r="AS76" i="19"/>
  <c r="U76" i="19"/>
  <c r="K74" i="19"/>
  <c r="AS74" i="19"/>
  <c r="O74" i="19"/>
  <c r="AD74" i="19"/>
  <c r="R74" i="19"/>
  <c r="AJ74" i="19"/>
  <c r="U74" i="19"/>
  <c r="X74" i="19"/>
  <c r="AM74" i="19"/>
  <c r="AA74" i="19"/>
  <c r="AP74" i="19"/>
  <c r="K72" i="19"/>
  <c r="AA72" i="19"/>
  <c r="AP72" i="19"/>
  <c r="AS72" i="19"/>
  <c r="AG72" i="19"/>
  <c r="R72" i="19"/>
  <c r="AJ72" i="19"/>
  <c r="U72" i="19"/>
  <c r="AY72" i="19"/>
  <c r="M71" i="19"/>
  <c r="Y71" i="19"/>
  <c r="AK71" i="19"/>
  <c r="P71" i="19"/>
  <c r="AB71" i="19"/>
  <c r="AN71" i="19"/>
  <c r="AT71" i="19"/>
  <c r="AE71" i="19"/>
  <c r="AH71" i="19"/>
  <c r="S71" i="19"/>
  <c r="BA71" i="19"/>
  <c r="I71" i="19"/>
  <c r="L71" i="19" s="1"/>
  <c r="AV107" i="19"/>
  <c r="AJ107" i="19"/>
  <c r="X107" i="19"/>
  <c r="AB102" i="19"/>
  <c r="AN100" i="19"/>
  <c r="AB100" i="19"/>
  <c r="AT99" i="19"/>
  <c r="AH99" i="19"/>
  <c r="AN98" i="19"/>
  <c r="AB98" i="19"/>
  <c r="AT97" i="19"/>
  <c r="AH97" i="19"/>
  <c r="AN96" i="19"/>
  <c r="AB96" i="19"/>
  <c r="AT95" i="19"/>
  <c r="AH95" i="19"/>
  <c r="AN94" i="19"/>
  <c r="AB94" i="19"/>
  <c r="AT93" i="19"/>
  <c r="AH93" i="19"/>
  <c r="AN92" i="19"/>
  <c r="AB92" i="19"/>
  <c r="AP91" i="19"/>
  <c r="X91" i="19"/>
  <c r="P91" i="19"/>
  <c r="AB91" i="19"/>
  <c r="AN91" i="19"/>
  <c r="V91" i="19"/>
  <c r="AH91" i="19"/>
  <c r="AT91" i="19"/>
  <c r="M91" i="19"/>
  <c r="Y91" i="19"/>
  <c r="AP90" i="19"/>
  <c r="X90" i="19"/>
  <c r="AP89" i="19"/>
  <c r="U89" i="19"/>
  <c r="AM88" i="19"/>
  <c r="U88" i="19"/>
  <c r="S87" i="19"/>
  <c r="AK86" i="19"/>
  <c r="BA85" i="19"/>
  <c r="AZ85" i="19" s="1"/>
  <c r="AJ85" i="19"/>
  <c r="R85" i="19"/>
  <c r="AJ84" i="19"/>
  <c r="M84" i="19"/>
  <c r="AV80" i="19"/>
  <c r="X80" i="19"/>
  <c r="BA79" i="19"/>
  <c r="K78" i="19"/>
  <c r="O78" i="19"/>
  <c r="AA78" i="19"/>
  <c r="AM78" i="19"/>
  <c r="P77" i="19"/>
  <c r="AB77" i="19"/>
  <c r="AN77" i="19"/>
  <c r="V77" i="19"/>
  <c r="AH77" i="19"/>
  <c r="AT77" i="19"/>
  <c r="M77" i="19"/>
  <c r="Y77" i="19"/>
  <c r="AK77" i="19"/>
  <c r="AP76" i="19"/>
  <c r="R76" i="19"/>
  <c r="AY75" i="19"/>
  <c r="AW75" i="19"/>
  <c r="AE75" i="19"/>
  <c r="AV74" i="19"/>
  <c r="AW71" i="19"/>
  <c r="AM96" i="19"/>
  <c r="AA96" i="19"/>
  <c r="AM94" i="19"/>
  <c r="AA94" i="19"/>
  <c r="BA91" i="19"/>
  <c r="BB91" i="19" s="1"/>
  <c r="AM91" i="19"/>
  <c r="U91" i="19"/>
  <c r="AM90" i="19"/>
  <c r="U90" i="19"/>
  <c r="AM89" i="19"/>
  <c r="AK88" i="19"/>
  <c r="R88" i="19"/>
  <c r="BA87" i="19"/>
  <c r="AZ87" i="19" s="1"/>
  <c r="AG85" i="19"/>
  <c r="O85" i="19"/>
  <c r="AG84" i="19"/>
  <c r="L84" i="19"/>
  <c r="AS80" i="19"/>
  <c r="U80" i="19"/>
  <c r="V78" i="19"/>
  <c r="AH78" i="19"/>
  <c r="AT78" i="19"/>
  <c r="P78" i="19"/>
  <c r="AB78" i="19"/>
  <c r="AN78" i="19"/>
  <c r="I78" i="19"/>
  <c r="L78" i="19" s="1"/>
  <c r="S78" i="19"/>
  <c r="AE78" i="19"/>
  <c r="AQ78" i="19"/>
  <c r="BA78" i="19"/>
  <c r="AD72" i="19"/>
  <c r="AQ71" i="19"/>
  <c r="AW70" i="19"/>
  <c r="AY70" i="19"/>
  <c r="AV73" i="19"/>
  <c r="AG73" i="19"/>
  <c r="R73" i="19"/>
  <c r="I72" i="19"/>
  <c r="L72" i="19" s="1"/>
  <c r="S72" i="19"/>
  <c r="AE72" i="19"/>
  <c r="AQ72" i="19"/>
  <c r="BA72" i="19"/>
  <c r="BB72" i="19" s="1"/>
  <c r="V72" i="19"/>
  <c r="AH72" i="19"/>
  <c r="AT72" i="19"/>
  <c r="AS71" i="19"/>
  <c r="X71" i="19"/>
  <c r="Y70" i="19"/>
  <c r="U70" i="19"/>
  <c r="AG70" i="19"/>
  <c r="AS70" i="19"/>
  <c r="K70" i="19"/>
  <c r="M69" i="19"/>
  <c r="Y69" i="19"/>
  <c r="AK69" i="19"/>
  <c r="P69" i="19"/>
  <c r="AB69" i="19"/>
  <c r="AN69" i="19"/>
  <c r="X65" i="19"/>
  <c r="AJ65" i="19"/>
  <c r="AV65" i="19"/>
  <c r="O65" i="19"/>
  <c r="AA65" i="19"/>
  <c r="AM65" i="19"/>
  <c r="R65" i="19"/>
  <c r="AD65" i="19"/>
  <c r="AP65" i="19"/>
  <c r="AG59" i="19"/>
  <c r="AS57" i="19"/>
  <c r="I74" i="19"/>
  <c r="L74" i="19" s="1"/>
  <c r="S74" i="19"/>
  <c r="AE74" i="19"/>
  <c r="AQ74" i="19"/>
  <c r="V74" i="19"/>
  <c r="AH74" i="19"/>
  <c r="AS73" i="19"/>
  <c r="AD73" i="19"/>
  <c r="L73" i="19"/>
  <c r="AP71" i="19"/>
  <c r="U71" i="19"/>
  <c r="I68" i="19"/>
  <c r="L68" i="19" s="1"/>
  <c r="S68" i="19"/>
  <c r="AE68" i="19"/>
  <c r="AQ68" i="19"/>
  <c r="BA68" i="19"/>
  <c r="V68" i="19"/>
  <c r="AH68" i="19"/>
  <c r="AT68" i="19"/>
  <c r="K61" i="19"/>
  <c r="L61" i="19"/>
  <c r="X61" i="19"/>
  <c r="AJ61" i="19"/>
  <c r="AV61" i="19"/>
  <c r="O61" i="19"/>
  <c r="AA61" i="19"/>
  <c r="AM61" i="19"/>
  <c r="R61" i="19"/>
  <c r="AD61" i="19"/>
  <c r="AP61" i="19"/>
  <c r="AG57" i="19"/>
  <c r="AK74" i="19"/>
  <c r="AA73" i="19"/>
  <c r="K73" i="19"/>
  <c r="AJ71" i="19"/>
  <c r="AK70" i="19"/>
  <c r="P70" i="19"/>
  <c r="AK68" i="19"/>
  <c r="AW66" i="19"/>
  <c r="R71" i="19"/>
  <c r="K59" i="19"/>
  <c r="X59" i="19"/>
  <c r="AJ59" i="19"/>
  <c r="AV59" i="19"/>
  <c r="O59" i="19"/>
  <c r="AA59" i="19"/>
  <c r="AM59" i="19"/>
  <c r="AY59" i="19"/>
  <c r="R59" i="19"/>
  <c r="AD59" i="19"/>
  <c r="AP59" i="19"/>
  <c r="U57" i="19"/>
  <c r="L67" i="19"/>
  <c r="X67" i="19"/>
  <c r="AJ67" i="19"/>
  <c r="AV67" i="19"/>
  <c r="O67" i="19"/>
  <c r="AA67" i="19"/>
  <c r="AM67" i="19"/>
  <c r="R67" i="19"/>
  <c r="AD67" i="19"/>
  <c r="AP67" i="19"/>
  <c r="O54" i="19"/>
  <c r="AA54" i="19"/>
  <c r="AM54" i="19"/>
  <c r="R54" i="19"/>
  <c r="AD54" i="19"/>
  <c r="AP54" i="19"/>
  <c r="K54" i="19"/>
  <c r="X54" i="19"/>
  <c r="BB54" i="19"/>
  <c r="L54" i="19"/>
  <c r="AS54" i="19"/>
  <c r="AG54" i="19"/>
  <c r="AV54" i="19"/>
  <c r="AT74" i="19"/>
  <c r="AJ73" i="19"/>
  <c r="M73" i="19"/>
  <c r="Y73" i="19"/>
  <c r="AK73" i="19"/>
  <c r="P73" i="19"/>
  <c r="AB73" i="19"/>
  <c r="AN73" i="19"/>
  <c r="AB72" i="19"/>
  <c r="M72" i="19"/>
  <c r="AV71" i="19"/>
  <c r="O69" i="19"/>
  <c r="AA69" i="19"/>
  <c r="AM69" i="19"/>
  <c r="AY67" i="19"/>
  <c r="R66" i="19"/>
  <c r="AD66" i="19"/>
  <c r="AP66" i="19"/>
  <c r="U66" i="19"/>
  <c r="AG66" i="19"/>
  <c r="AS66" i="19"/>
  <c r="X66" i="19"/>
  <c r="AJ66" i="19"/>
  <c r="AV66" i="19"/>
  <c r="AW62" i="19"/>
  <c r="AG61" i="19"/>
  <c r="AS59" i="19"/>
  <c r="I57" i="19"/>
  <c r="V57" i="19"/>
  <c r="AH57" i="19"/>
  <c r="AT57" i="19"/>
  <c r="M57" i="19"/>
  <c r="Y57" i="19"/>
  <c r="AK57" i="19"/>
  <c r="P57" i="19"/>
  <c r="AB57" i="19"/>
  <c r="AN57" i="19"/>
  <c r="AW73" i="19"/>
  <c r="AY73" i="19"/>
  <c r="O71" i="19"/>
  <c r="AA71" i="19"/>
  <c r="AM71" i="19"/>
  <c r="I70" i="19"/>
  <c r="L70" i="19" s="1"/>
  <c r="S70" i="19"/>
  <c r="AE70" i="19"/>
  <c r="AQ70" i="19"/>
  <c r="BA70" i="19"/>
  <c r="V70" i="19"/>
  <c r="AH70" i="19"/>
  <c r="AT70" i="19"/>
  <c r="L57" i="19"/>
  <c r="K57" i="19"/>
  <c r="X57" i="19"/>
  <c r="AJ57" i="19"/>
  <c r="AV57" i="19"/>
  <c r="O57" i="19"/>
  <c r="AA57" i="19"/>
  <c r="AM57" i="19"/>
  <c r="AY57" i="19"/>
  <c r="R57" i="19"/>
  <c r="AD57" i="19"/>
  <c r="AP57" i="19"/>
  <c r="AW52" i="19"/>
  <c r="AY52" i="19"/>
  <c r="R51" i="19"/>
  <c r="AD51" i="19"/>
  <c r="AP51" i="19"/>
  <c r="U51" i="19"/>
  <c r="AG51" i="19"/>
  <c r="AS51" i="19"/>
  <c r="L51" i="19"/>
  <c r="X51" i="19"/>
  <c r="AJ51" i="19"/>
  <c r="AV51" i="19"/>
  <c r="R49" i="19"/>
  <c r="AD49" i="19"/>
  <c r="AP49" i="19"/>
  <c r="U49" i="19"/>
  <c r="AG49" i="19"/>
  <c r="AS49" i="19"/>
  <c r="K49" i="19"/>
  <c r="X49" i="19"/>
  <c r="AJ49" i="19"/>
  <c r="AV49" i="19"/>
  <c r="X39" i="19"/>
  <c r="AJ39" i="19"/>
  <c r="AD39" i="19"/>
  <c r="R39" i="19"/>
  <c r="AS39" i="19"/>
  <c r="AG39" i="19"/>
  <c r="U39" i="19"/>
  <c r="AV39" i="19"/>
  <c r="K39" i="19"/>
  <c r="AM39" i="19"/>
  <c r="AA39" i="19"/>
  <c r="AY39" i="19"/>
  <c r="O39" i="19"/>
  <c r="AP39" i="19"/>
  <c r="X50" i="19"/>
  <c r="AJ50" i="19"/>
  <c r="AV50" i="19"/>
  <c r="O50" i="19"/>
  <c r="AA50" i="19"/>
  <c r="AM50" i="19"/>
  <c r="R50" i="19"/>
  <c r="AD50" i="19"/>
  <c r="AP50" i="19"/>
  <c r="AM49" i="19"/>
  <c r="K64" i="19"/>
  <c r="AN63" i="19"/>
  <c r="AB63" i="19"/>
  <c r="P63" i="19"/>
  <c r="K62" i="19"/>
  <c r="AY61" i="19"/>
  <c r="AN61" i="19"/>
  <c r="AB61" i="19"/>
  <c r="P61" i="19"/>
  <c r="AN59" i="19"/>
  <c r="AB59" i="19"/>
  <c r="P59" i="19"/>
  <c r="O56" i="19"/>
  <c r="AA56" i="19"/>
  <c r="AM56" i="19"/>
  <c r="R56" i="19"/>
  <c r="AD56" i="19"/>
  <c r="AP56" i="19"/>
  <c r="M52" i="19"/>
  <c r="Y52" i="19"/>
  <c r="AK52" i="19"/>
  <c r="P52" i="19"/>
  <c r="AB52" i="19"/>
  <c r="AN52" i="19"/>
  <c r="I52" i="19"/>
  <c r="L52" i="19" s="1"/>
  <c r="S52" i="19"/>
  <c r="AE52" i="19"/>
  <c r="AQ52" i="19"/>
  <c r="BA52" i="19"/>
  <c r="BB52" i="19" s="1"/>
  <c r="O51" i="19"/>
  <c r="AZ47" i="19"/>
  <c r="BB47" i="19"/>
  <c r="AY56" i="19"/>
  <c r="P55" i="19"/>
  <c r="AB55" i="19"/>
  <c r="AN55" i="19"/>
  <c r="V52" i="19"/>
  <c r="AY51" i="19"/>
  <c r="O49" i="19"/>
  <c r="AY71" i="19"/>
  <c r="AY69" i="19"/>
  <c r="BA64" i="19"/>
  <c r="AQ64" i="19"/>
  <c r="AE64" i="19"/>
  <c r="S64" i="19"/>
  <c r="I64" i="19"/>
  <c r="L64" i="19"/>
  <c r="AK63" i="19"/>
  <c r="Y63" i="19"/>
  <c r="M63" i="19"/>
  <c r="BA62" i="19"/>
  <c r="AQ62" i="19"/>
  <c r="AE62" i="19"/>
  <c r="S62" i="19"/>
  <c r="I62" i="19"/>
  <c r="L62" i="19" s="1"/>
  <c r="AK61" i="19"/>
  <c r="Y61" i="19"/>
  <c r="M61" i="19"/>
  <c r="BA60" i="19"/>
  <c r="AQ60" i="19"/>
  <c r="AE60" i="19"/>
  <c r="S60" i="19"/>
  <c r="I60" i="19"/>
  <c r="L60" i="19" s="1"/>
  <c r="AK59" i="19"/>
  <c r="Y59" i="19"/>
  <c r="M59" i="19"/>
  <c r="BA58" i="19"/>
  <c r="AQ58" i="19"/>
  <c r="AE58" i="19"/>
  <c r="S58" i="19"/>
  <c r="I58" i="19"/>
  <c r="L58" i="19" s="1"/>
  <c r="AJ56" i="19"/>
  <c r="U56" i="19"/>
  <c r="V55" i="19"/>
  <c r="U55" i="19"/>
  <c r="AG55" i="19"/>
  <c r="AS55" i="19"/>
  <c r="L55" i="19"/>
  <c r="X55" i="19"/>
  <c r="AJ55" i="19"/>
  <c r="AV55" i="19"/>
  <c r="AW53" i="19"/>
  <c r="V53" i="19"/>
  <c r="BA51" i="19"/>
  <c r="BB51" i="19" s="1"/>
  <c r="AW51" i="19"/>
  <c r="K51" i="19"/>
  <c r="AK67" i="19"/>
  <c r="Y67" i="19"/>
  <c r="AK65" i="19"/>
  <c r="Y65" i="19"/>
  <c r="AP64" i="19"/>
  <c r="AD64" i="19"/>
  <c r="AP62" i="19"/>
  <c r="AD62" i="19"/>
  <c r="AP60" i="19"/>
  <c r="AD60" i="19"/>
  <c r="AP58" i="19"/>
  <c r="AD58" i="19"/>
  <c r="S55" i="19"/>
  <c r="P53" i="19"/>
  <c r="AB53" i="19"/>
  <c r="AN53" i="19"/>
  <c r="AA51" i="19"/>
  <c r="AS50" i="19"/>
  <c r="U50" i="19"/>
  <c r="BA49" i="19"/>
  <c r="AW49" i="19"/>
  <c r="AN64" i="19"/>
  <c r="AB64" i="19"/>
  <c r="AT63" i="19"/>
  <c r="AH63" i="19"/>
  <c r="AN62" i="19"/>
  <c r="AB62" i="19"/>
  <c r="AT61" i="19"/>
  <c r="AH61" i="19"/>
  <c r="AN60" i="19"/>
  <c r="AB60" i="19"/>
  <c r="AT59" i="19"/>
  <c r="AH59" i="19"/>
  <c r="AN58" i="19"/>
  <c r="AB58" i="19"/>
  <c r="AV56" i="19"/>
  <c r="AG56" i="19"/>
  <c r="BA55" i="19"/>
  <c r="BB55" i="19" s="1"/>
  <c r="AK55" i="19"/>
  <c r="R55" i="19"/>
  <c r="AT53" i="19"/>
  <c r="S53" i="19"/>
  <c r="AH52" i="19"/>
  <c r="AA49" i="19"/>
  <c r="K48" i="19"/>
  <c r="AY47" i="19"/>
  <c r="BB46" i="19"/>
  <c r="K43" i="19"/>
  <c r="M36" i="19"/>
  <c r="Y36" i="19"/>
  <c r="AK36" i="19"/>
  <c r="AW36" i="19"/>
  <c r="AG34" i="19"/>
  <c r="R34" i="19"/>
  <c r="AM32" i="19"/>
  <c r="O26" i="19"/>
  <c r="AA26" i="19"/>
  <c r="AM26" i="19"/>
  <c r="AY26" i="19"/>
  <c r="R26" i="19"/>
  <c r="AD26" i="19"/>
  <c r="AP26" i="19"/>
  <c r="U26" i="19"/>
  <c r="AG26" i="19"/>
  <c r="AS26" i="19"/>
  <c r="K26" i="19"/>
  <c r="L26" i="19"/>
  <c r="X26" i="19"/>
  <c r="AJ26" i="19"/>
  <c r="AV26" i="19"/>
  <c r="BA41" i="19"/>
  <c r="R35" i="19"/>
  <c r="AD35" i="19"/>
  <c r="AP35" i="19"/>
  <c r="K32" i="19"/>
  <c r="L32" i="19"/>
  <c r="X32" i="19"/>
  <c r="AJ32" i="19"/>
  <c r="AV32" i="19"/>
  <c r="BA50" i="19"/>
  <c r="AQ50" i="19"/>
  <c r="AE50" i="19"/>
  <c r="S50" i="19"/>
  <c r="BA48" i="19"/>
  <c r="AQ48" i="19"/>
  <c r="AE48" i="19"/>
  <c r="S48" i="19"/>
  <c r="AW47" i="19"/>
  <c r="AP46" i="19"/>
  <c r="AD46" i="19"/>
  <c r="R46" i="19"/>
  <c r="K45" i="19"/>
  <c r="BA43" i="19"/>
  <c r="AQ43" i="19"/>
  <c r="AE43" i="19"/>
  <c r="S43" i="19"/>
  <c r="AW42" i="19"/>
  <c r="AP41" i="19"/>
  <c r="AD41" i="19"/>
  <c r="R41" i="19"/>
  <c r="K40" i="19"/>
  <c r="X38" i="19"/>
  <c r="AK37" i="19"/>
  <c r="AS34" i="19"/>
  <c r="AD34" i="19"/>
  <c r="O34" i="19"/>
  <c r="BA32" i="19"/>
  <c r="AZ32" i="19" s="1"/>
  <c r="AE32" i="19"/>
  <c r="AZ30" i="19"/>
  <c r="AP48" i="19"/>
  <c r="AD48" i="19"/>
  <c r="R48" i="19"/>
  <c r="AY46" i="19"/>
  <c r="AW44" i="19"/>
  <c r="AK44" i="19"/>
  <c r="Y44" i="19"/>
  <c r="M44" i="19"/>
  <c r="AP43" i="19"/>
  <c r="AD43" i="19"/>
  <c r="R43" i="19"/>
  <c r="AY41" i="19"/>
  <c r="BB40" i="19"/>
  <c r="AW39" i="19"/>
  <c r="R38" i="19"/>
  <c r="AD38" i="19"/>
  <c r="AP38" i="19"/>
  <c r="AT36" i="19"/>
  <c r="AE36" i="19"/>
  <c r="P36" i="19"/>
  <c r="AJ35" i="19"/>
  <c r="U35" i="19"/>
  <c r="AQ34" i="19"/>
  <c r="AB34" i="19"/>
  <c r="AD32" i="19"/>
  <c r="V32" i="19"/>
  <c r="AH32" i="19"/>
  <c r="AT32" i="19"/>
  <c r="M32" i="19"/>
  <c r="Y32" i="19"/>
  <c r="AK32" i="19"/>
  <c r="P32" i="19"/>
  <c r="AB32" i="19"/>
  <c r="AN32" i="19"/>
  <c r="V30" i="19"/>
  <c r="AH30" i="19"/>
  <c r="AT30" i="19"/>
  <c r="M30" i="19"/>
  <c r="Y30" i="19"/>
  <c r="AK30" i="19"/>
  <c r="AW30" i="19"/>
  <c r="P30" i="19"/>
  <c r="AB30" i="19"/>
  <c r="AN30" i="19"/>
  <c r="AY48" i="19"/>
  <c r="AM46" i="19"/>
  <c r="AA46" i="19"/>
  <c r="O46" i="19"/>
  <c r="AM41" i="19"/>
  <c r="AA41" i="19"/>
  <c r="O41" i="19"/>
  <c r="V37" i="19"/>
  <c r="AH37" i="19"/>
  <c r="AT37" i="19"/>
  <c r="L34" i="19"/>
  <c r="X34" i="19"/>
  <c r="AJ34" i="19"/>
  <c r="AV34" i="19"/>
  <c r="AW32" i="19"/>
  <c r="AY32" i="19"/>
  <c r="AA32" i="19"/>
  <c r="U30" i="19"/>
  <c r="AG30" i="19"/>
  <c r="AS30" i="19"/>
  <c r="K30" i="19"/>
  <c r="L30" i="19"/>
  <c r="X30" i="19"/>
  <c r="AJ30" i="19"/>
  <c r="AV30" i="19"/>
  <c r="O30" i="19"/>
  <c r="AA30" i="19"/>
  <c r="AM30" i="19"/>
  <c r="AY30" i="19"/>
  <c r="AM48" i="19"/>
  <c r="AA48" i="19"/>
  <c r="O48" i="19"/>
  <c r="AK46" i="19"/>
  <c r="Y46" i="19"/>
  <c r="M46" i="19"/>
  <c r="AP45" i="19"/>
  <c r="AD45" i="19"/>
  <c r="R45" i="19"/>
  <c r="AT44" i="19"/>
  <c r="AH44" i="19"/>
  <c r="V44" i="19"/>
  <c r="AM43" i="19"/>
  <c r="AA43" i="19"/>
  <c r="O43" i="19"/>
  <c r="AK41" i="19"/>
  <c r="Y41" i="19"/>
  <c r="M41" i="19"/>
  <c r="AP40" i="19"/>
  <c r="AD40" i="19"/>
  <c r="R40" i="19"/>
  <c r="AG38" i="19"/>
  <c r="AE37" i="19"/>
  <c r="AQ36" i="19"/>
  <c r="AB36" i="19"/>
  <c r="AV35" i="19"/>
  <c r="AG35" i="19"/>
  <c r="O35" i="19"/>
  <c r="BA34" i="19"/>
  <c r="AN34" i="19"/>
  <c r="V34" i="19"/>
  <c r="AS32" i="19"/>
  <c r="U32" i="19"/>
  <c r="AP30" i="19"/>
  <c r="AV46" i="19"/>
  <c r="AJ46" i="19"/>
  <c r="X46" i="19"/>
  <c r="L46" i="19"/>
  <c r="AV41" i="19"/>
  <c r="AJ41" i="19"/>
  <c r="X41" i="19"/>
  <c r="AM34" i="19"/>
  <c r="U34" i="19"/>
  <c r="M34" i="19"/>
  <c r="Y34" i="19"/>
  <c r="AK34" i="19"/>
  <c r="BA31" i="19"/>
  <c r="AZ31" i="19" s="1"/>
  <c r="AE30" i="19"/>
  <c r="AV48" i="19"/>
  <c r="AJ48" i="19"/>
  <c r="X48" i="19"/>
  <c r="AP47" i="19"/>
  <c r="AD47" i="19"/>
  <c r="AT46" i="19"/>
  <c r="AH46" i="19"/>
  <c r="AM45" i="19"/>
  <c r="AA45" i="19"/>
  <c r="BA44" i="19"/>
  <c r="AQ44" i="19"/>
  <c r="AE44" i="19"/>
  <c r="S44" i="19"/>
  <c r="AV43" i="19"/>
  <c r="AJ43" i="19"/>
  <c r="X43" i="19"/>
  <c r="AT41" i="19"/>
  <c r="AH41" i="19"/>
  <c r="AM40" i="19"/>
  <c r="AA40" i="19"/>
  <c r="O38" i="19"/>
  <c r="BA37" i="19"/>
  <c r="AB37" i="19"/>
  <c r="AN36" i="19"/>
  <c r="V36" i="19"/>
  <c r="I36" i="19"/>
  <c r="AS35" i="19"/>
  <c r="AA35" i="19"/>
  <c r="L35" i="19"/>
  <c r="AY34" i="19"/>
  <c r="AH34" i="19"/>
  <c r="S34" i="19"/>
  <c r="AP32" i="19"/>
  <c r="R32" i="19"/>
  <c r="AW31" i="19"/>
  <c r="AD30" i="19"/>
  <c r="K25" i="19"/>
  <c r="AA25" i="19"/>
  <c r="AP25" i="19"/>
  <c r="AS25" i="19"/>
  <c r="O25" i="19"/>
  <c r="AD25" i="19"/>
  <c r="AG25" i="19"/>
  <c r="AV25" i="19"/>
  <c r="R25" i="19"/>
  <c r="U25" i="19"/>
  <c r="AJ25" i="19"/>
  <c r="AM25" i="19"/>
  <c r="X25" i="19"/>
  <c r="AY23" i="19"/>
  <c r="AJ23" i="19"/>
  <c r="U23" i="19"/>
  <c r="X21" i="19"/>
  <c r="AJ21" i="19"/>
  <c r="AV21" i="19"/>
  <c r="O21" i="19"/>
  <c r="AA21" i="19"/>
  <c r="AM21" i="19"/>
  <c r="R21" i="19"/>
  <c r="AD21" i="19"/>
  <c r="AP21" i="19"/>
  <c r="AW19" i="19"/>
  <c r="Y19" i="19"/>
  <c r="M18" i="19"/>
  <c r="Y18" i="19"/>
  <c r="AK18" i="19"/>
  <c r="P18" i="19"/>
  <c r="AB18" i="19"/>
  <c r="AN18" i="19"/>
  <c r="I18" i="19"/>
  <c r="S18" i="19"/>
  <c r="AE18" i="19"/>
  <c r="AQ18" i="19"/>
  <c r="BA18" i="19"/>
  <c r="L33" i="19"/>
  <c r="AK28" i="19"/>
  <c r="Y28" i="19"/>
  <c r="M28" i="19"/>
  <c r="AP27" i="19"/>
  <c r="AD27" i="19"/>
  <c r="R27" i="19"/>
  <c r="AY25" i="19"/>
  <c r="M25" i="19"/>
  <c r="Y25" i="19"/>
  <c r="AK25" i="19"/>
  <c r="I25" i="19"/>
  <c r="L25" i="19" s="1"/>
  <c r="S25" i="19"/>
  <c r="AE25" i="19"/>
  <c r="AQ25" i="19"/>
  <c r="BA25" i="19"/>
  <c r="AW23" i="19"/>
  <c r="AH23" i="19"/>
  <c r="R23" i="19"/>
  <c r="AS21" i="19"/>
  <c r="AT19" i="19"/>
  <c r="V19" i="19"/>
  <c r="AW18" i="19"/>
  <c r="J19" i="19"/>
  <c r="AJ19" i="19" s="1"/>
  <c r="J17" i="19"/>
  <c r="AD17" i="19" s="1"/>
  <c r="J15" i="19"/>
  <c r="J13" i="19"/>
  <c r="AS13" i="19" s="1"/>
  <c r="J18" i="19"/>
  <c r="AY27" i="19"/>
  <c r="AV23" i="19"/>
  <c r="AG23" i="19"/>
  <c r="P23" i="19"/>
  <c r="AQ19" i="19"/>
  <c r="S19" i="19"/>
  <c r="AT28" i="19"/>
  <c r="AH28" i="19"/>
  <c r="V28" i="19"/>
  <c r="AM27" i="19"/>
  <c r="AA27" i="19"/>
  <c r="O27" i="19"/>
  <c r="AT23" i="19"/>
  <c r="AD23" i="19"/>
  <c r="O23" i="19"/>
  <c r="I22" i="19"/>
  <c r="S22" i="19"/>
  <c r="AE22" i="19"/>
  <c r="AQ22" i="19"/>
  <c r="BA22" i="19"/>
  <c r="V22" i="19"/>
  <c r="AH22" i="19"/>
  <c r="AT22" i="19"/>
  <c r="M22" i="19"/>
  <c r="Y22" i="19"/>
  <c r="AK22" i="19"/>
  <c r="U21" i="19"/>
  <c r="AT18" i="19"/>
  <c r="V18" i="19"/>
  <c r="I14" i="19"/>
  <c r="S14" i="19"/>
  <c r="AE14" i="19"/>
  <c r="AQ14" i="19"/>
  <c r="BA14" i="19"/>
  <c r="V14" i="19"/>
  <c r="AH14" i="19"/>
  <c r="AT14" i="19"/>
  <c r="M14" i="19"/>
  <c r="Y14" i="19"/>
  <c r="AK14" i="19"/>
  <c r="I19" i="28"/>
  <c r="S19" i="28"/>
  <c r="AE19" i="28"/>
  <c r="AQ19" i="28"/>
  <c r="BA19" i="28"/>
  <c r="BB19" i="28" s="1"/>
  <c r="V19" i="28"/>
  <c r="AH19" i="28"/>
  <c r="AT19" i="28"/>
  <c r="M19" i="28"/>
  <c r="Y19" i="28"/>
  <c r="AK19" i="28"/>
  <c r="P19" i="28"/>
  <c r="AB19" i="28"/>
  <c r="AN19" i="28"/>
  <c r="BA35" i="19"/>
  <c r="AQ35" i="19"/>
  <c r="AE35" i="19"/>
  <c r="S35" i="19"/>
  <c r="BA33" i="19"/>
  <c r="BB33" i="19" s="1"/>
  <c r="AQ33" i="19"/>
  <c r="AE33" i="19"/>
  <c r="S33" i="19"/>
  <c r="AN29" i="19"/>
  <c r="AB29" i="19"/>
  <c r="AK27" i="19"/>
  <c r="Y27" i="19"/>
  <c r="BA26" i="19"/>
  <c r="AZ26" i="19" s="1"/>
  <c r="AQ26" i="19"/>
  <c r="AE26" i="19"/>
  <c r="S26" i="19"/>
  <c r="P25" i="19"/>
  <c r="AM24" i="19"/>
  <c r="I24" i="19"/>
  <c r="L24" i="19" s="1"/>
  <c r="S24" i="19"/>
  <c r="AE24" i="19"/>
  <c r="AQ24" i="19"/>
  <c r="BA24" i="19"/>
  <c r="M24" i="19"/>
  <c r="Y24" i="19"/>
  <c r="AK24" i="19"/>
  <c r="AS23" i="19"/>
  <c r="AW22" i="19"/>
  <c r="AB22" i="19"/>
  <c r="P20" i="19"/>
  <c r="AB20" i="19"/>
  <c r="AN20" i="19"/>
  <c r="I20" i="19"/>
  <c r="S20" i="19"/>
  <c r="AE20" i="19"/>
  <c r="AQ20" i="19"/>
  <c r="BA20" i="19"/>
  <c r="V20" i="19"/>
  <c r="AH20" i="19"/>
  <c r="AT20" i="19"/>
  <c r="AK19" i="19"/>
  <c r="M19" i="19"/>
  <c r="AW19" i="28"/>
  <c r="AP33" i="19"/>
  <c r="AD33" i="19"/>
  <c r="AM29" i="19"/>
  <c r="AA29" i="19"/>
  <c r="BA28" i="19"/>
  <c r="AQ28" i="19"/>
  <c r="AE28" i="19"/>
  <c r="S28" i="19"/>
  <c r="I28" i="19"/>
  <c r="AV27" i="19"/>
  <c r="AJ27" i="19"/>
  <c r="X27" i="19"/>
  <c r="AT25" i="19"/>
  <c r="AY24" i="19"/>
  <c r="AJ24" i="19"/>
  <c r="AP23" i="19"/>
  <c r="AA23" i="19"/>
  <c r="K23" i="19"/>
  <c r="AY21" i="19"/>
  <c r="BA19" i="19"/>
  <c r="BB19" i="19" s="1"/>
  <c r="M13" i="19"/>
  <c r="Y13" i="19"/>
  <c r="AK13" i="19"/>
  <c r="P13" i="19"/>
  <c r="AB13" i="19"/>
  <c r="AN13" i="19"/>
  <c r="I13" i="19"/>
  <c r="S13" i="19"/>
  <c r="AE13" i="19"/>
  <c r="AQ13" i="19"/>
  <c r="BA13" i="19"/>
  <c r="AW13" i="19"/>
  <c r="AW13" i="28"/>
  <c r="AY13" i="28"/>
  <c r="AN28" i="19"/>
  <c r="AB28" i="19"/>
  <c r="M23" i="19"/>
  <c r="Y23" i="19"/>
  <c r="AK23" i="19"/>
  <c r="I23" i="19"/>
  <c r="L23" i="19" s="1"/>
  <c r="S23" i="19"/>
  <c r="AE23" i="19"/>
  <c r="AQ23" i="19"/>
  <c r="BA23" i="19"/>
  <c r="AZ23" i="19" s="1"/>
  <c r="P19" i="19"/>
  <c r="AB19" i="19"/>
  <c r="AN19" i="19"/>
  <c r="AW16" i="19"/>
  <c r="AW17" i="28"/>
  <c r="AV13" i="28"/>
  <c r="X13" i="28"/>
  <c r="J20" i="28"/>
  <c r="J18" i="28"/>
  <c r="AJ18" i="28" s="1"/>
  <c r="V21" i="28"/>
  <c r="AH21" i="28"/>
  <c r="AT21" i="28"/>
  <c r="P21" i="28"/>
  <c r="AB21" i="28"/>
  <c r="AN21" i="28"/>
  <c r="I21" i="28"/>
  <c r="S21" i="28"/>
  <c r="AE21" i="28"/>
  <c r="AQ21" i="28"/>
  <c r="BA21" i="28"/>
  <c r="AD15" i="28"/>
  <c r="M15" i="28"/>
  <c r="Y15" i="28"/>
  <c r="AK15" i="28"/>
  <c r="P15" i="28"/>
  <c r="AB15" i="28"/>
  <c r="AN15" i="28"/>
  <c r="I15" i="28"/>
  <c r="L15" i="28"/>
  <c r="S15" i="28"/>
  <c r="AE15" i="28"/>
  <c r="AQ15" i="28"/>
  <c r="BA15" i="28"/>
  <c r="BB15" i="28" s="1"/>
  <c r="V15" i="28"/>
  <c r="AH15" i="28"/>
  <c r="AT15" i="28"/>
  <c r="AS13" i="28"/>
  <c r="U13" i="28"/>
  <c r="AB16" i="19"/>
  <c r="P16" i="19"/>
  <c r="G14" i="28"/>
  <c r="H14" i="28" s="1"/>
  <c r="AW15" i="28"/>
  <c r="AY15" i="28"/>
  <c r="AA15" i="28"/>
  <c r="AP13" i="28"/>
  <c r="R13" i="28"/>
  <c r="AM13" i="28"/>
  <c r="O13" i="28"/>
  <c r="AK16" i="19"/>
  <c r="Y16" i="19"/>
  <c r="M16" i="19"/>
  <c r="AK21" i="28"/>
  <c r="P17" i="28"/>
  <c r="AB17" i="28"/>
  <c r="AN17" i="28"/>
  <c r="I17" i="28"/>
  <c r="S17" i="28"/>
  <c r="AE17" i="28"/>
  <c r="AQ17" i="28"/>
  <c r="BA17" i="28"/>
  <c r="V17" i="28"/>
  <c r="AH17" i="28"/>
  <c r="AT17" i="28"/>
  <c r="M17" i="28"/>
  <c r="Y17" i="28"/>
  <c r="AK17" i="28"/>
  <c r="AS15" i="28"/>
  <c r="U15" i="28"/>
  <c r="AJ13" i="28"/>
  <c r="M21" i="28"/>
  <c r="J19" i="28"/>
  <c r="U19" i="28" s="1"/>
  <c r="AM15" i="28"/>
  <c r="O15" i="28"/>
  <c r="AD13" i="28"/>
  <c r="M13" i="28"/>
  <c r="Y13" i="28"/>
  <c r="AK13" i="28"/>
  <c r="P13" i="28"/>
  <c r="AB13" i="28"/>
  <c r="AN13" i="28"/>
  <c r="I13" i="28"/>
  <c r="L13" i="28"/>
  <c r="S13" i="28"/>
  <c r="AE13" i="28"/>
  <c r="AQ13" i="28"/>
  <c r="BA13" i="28"/>
  <c r="AZ13" i="28" s="1"/>
  <c r="V13" i="28"/>
  <c r="AH13" i="28"/>
  <c r="AT13" i="28"/>
  <c r="E24" i="29"/>
  <c r="E23" i="29"/>
  <c r="E22" i="29"/>
  <c r="E21" i="29"/>
  <c r="E20" i="29"/>
  <c r="Y24" i="29"/>
  <c r="Y23" i="29"/>
  <c r="Y22" i="29"/>
  <c r="Y21" i="29"/>
  <c r="Y20" i="29"/>
  <c r="AZ25" i="44"/>
  <c r="AZ19" i="44"/>
  <c r="AZ43" i="44"/>
  <c r="AZ44" i="44"/>
  <c r="AZ35" i="44"/>
  <c r="BB25" i="20"/>
  <c r="AZ25" i="20"/>
  <c r="AP143" i="20"/>
  <c r="AG19" i="28"/>
  <c r="AM19" i="28"/>
  <c r="AJ19" i="28"/>
  <c r="L19" i="28"/>
  <c r="BB70" i="19"/>
  <c r="AZ70" i="19"/>
  <c r="BB68" i="19"/>
  <c r="AZ68" i="19"/>
  <c r="AZ47" i="44"/>
  <c r="AZ14" i="19"/>
  <c r="AZ22" i="19"/>
  <c r="AZ60" i="19"/>
  <c r="BB60" i="19"/>
  <c r="BB88" i="19"/>
  <c r="AZ88" i="19"/>
  <c r="AZ13" i="44"/>
  <c r="P90" i="20"/>
  <c r="AH90" i="20"/>
  <c r="Y90" i="20"/>
  <c r="BA90" i="20"/>
  <c r="AZ24" i="19"/>
  <c r="BB24" i="19"/>
  <c r="BB99" i="19"/>
  <c r="AZ99" i="19"/>
  <c r="U17" i="44"/>
  <c r="AD17" i="44"/>
  <c r="K18" i="19"/>
  <c r="AM18" i="19"/>
  <c r="AZ43" i="19"/>
  <c r="BB43" i="19"/>
  <c r="AZ50" i="19"/>
  <c r="BB50" i="19"/>
  <c r="AZ100" i="19"/>
  <c r="BB100" i="19"/>
  <c r="AZ22" i="44"/>
  <c r="AZ49" i="44"/>
  <c r="BB49" i="44"/>
  <c r="BB30" i="20"/>
  <c r="AZ30" i="20"/>
  <c r="V13" i="20"/>
  <c r="AH13" i="20"/>
  <c r="AT13" i="20"/>
  <c r="I13" i="20"/>
  <c r="L13" i="20" s="1"/>
  <c r="AW13" i="20"/>
  <c r="AK13" i="20"/>
  <c r="Y13" i="20"/>
  <c r="M13" i="20"/>
  <c r="AN13" i="20"/>
  <c r="AB13" i="20"/>
  <c r="BA13" i="20"/>
  <c r="BB13" i="20" s="1"/>
  <c r="S13" i="20"/>
  <c r="P13" i="20"/>
  <c r="AQ13" i="20"/>
  <c r="AE13" i="20"/>
  <c r="AZ70" i="20"/>
  <c r="AD143" i="20"/>
  <c r="M67" i="20"/>
  <c r="Y67" i="20"/>
  <c r="AK67" i="20"/>
  <c r="I67" i="20"/>
  <c r="L67" i="20" s="1"/>
  <c r="S67" i="20"/>
  <c r="AE67" i="20"/>
  <c r="AQ67" i="20"/>
  <c r="BA67" i="20"/>
  <c r="V67" i="20"/>
  <c r="AN67" i="20"/>
  <c r="AB67" i="20"/>
  <c r="AH67" i="20"/>
  <c r="AT67" i="20"/>
  <c r="P67" i="20"/>
  <c r="F28" i="23"/>
  <c r="G38" i="20" s="1"/>
  <c r="E30" i="23"/>
  <c r="F30" i="23" s="1"/>
  <c r="G40" i="20" s="1"/>
  <c r="E29" i="23"/>
  <c r="F29" i="23"/>
  <c r="G39" i="20"/>
  <c r="H39" i="20" s="1"/>
  <c r="E27" i="23"/>
  <c r="F27" i="23"/>
  <c r="G37" i="20" s="1"/>
  <c r="AZ64" i="19"/>
  <c r="BB64" i="19"/>
  <c r="AZ23" i="47"/>
  <c r="BB23" i="47"/>
  <c r="AZ17" i="28"/>
  <c r="AZ90" i="19"/>
  <c r="BB90" i="19"/>
  <c r="AZ109" i="19"/>
  <c r="BB109" i="19"/>
  <c r="BB29" i="47"/>
  <c r="AZ29" i="47"/>
  <c r="AG13" i="19"/>
  <c r="X13" i="19"/>
  <c r="AD13" i="19"/>
  <c r="K13" i="19"/>
  <c r="AJ13" i="19"/>
  <c r="AM13" i="19"/>
  <c r="BB25" i="19"/>
  <c r="AZ25" i="19"/>
  <c r="AZ44" i="19"/>
  <c r="AZ41" i="19"/>
  <c r="BB41" i="19"/>
  <c r="AZ72" i="19"/>
  <c r="AZ102" i="19"/>
  <c r="BB97" i="19"/>
  <c r="AZ97" i="19"/>
  <c r="AZ103" i="19"/>
  <c r="BB103" i="19"/>
  <c r="BB101" i="19"/>
  <c r="AZ101" i="19"/>
  <c r="AZ54" i="44"/>
  <c r="BB73" i="20"/>
  <c r="AZ73" i="20"/>
  <c r="AW67" i="20"/>
  <c r="R143" i="20"/>
  <c r="BB23" i="19"/>
  <c r="BB18" i="19"/>
  <c r="AZ18" i="19"/>
  <c r="H116" i="20"/>
  <c r="K116" i="20"/>
  <c r="AZ62" i="19"/>
  <c r="BB62" i="19"/>
  <c r="AZ71" i="19"/>
  <c r="BB71" i="19"/>
  <c r="AZ80" i="19"/>
  <c r="BB80" i="19"/>
  <c r="K64" i="44"/>
  <c r="H64" i="44"/>
  <c r="AQ64" i="44" s="1"/>
  <c r="AZ21" i="28"/>
  <c r="AZ13" i="19"/>
  <c r="O15" i="19"/>
  <c r="AA15" i="19"/>
  <c r="AM15" i="19"/>
  <c r="R15" i="19"/>
  <c r="AD15" i="19"/>
  <c r="AP15" i="19"/>
  <c r="U15" i="19"/>
  <c r="AG15" i="19"/>
  <c r="AS15" i="19"/>
  <c r="K15" i="19"/>
  <c r="AV15" i="19"/>
  <c r="L15" i="19"/>
  <c r="AJ15" i="19"/>
  <c r="AY15" i="19"/>
  <c r="X15" i="19"/>
  <c r="AZ36" i="47"/>
  <c r="BB36" i="47"/>
  <c r="AZ37" i="47"/>
  <c r="BB37" i="47"/>
  <c r="AZ32" i="47"/>
  <c r="BB32" i="47"/>
  <c r="BA53" i="44"/>
  <c r="AH53" i="44"/>
  <c r="AB53" i="44"/>
  <c r="P53" i="44"/>
  <c r="M21" i="44"/>
  <c r="I21" i="44"/>
  <c r="S21" i="44"/>
  <c r="AE21" i="44"/>
  <c r="AQ21" i="44"/>
  <c r="BA21" i="44"/>
  <c r="AZ21" i="44" s="1"/>
  <c r="Y21" i="44"/>
  <c r="AT21" i="44"/>
  <c r="AW21" i="44"/>
  <c r="AH21" i="44"/>
  <c r="P21" i="44"/>
  <c r="AK21" i="44"/>
  <c r="V21" i="44"/>
  <c r="AB21" i="44"/>
  <c r="AN21" i="44"/>
  <c r="AZ48" i="44"/>
  <c r="AZ70" i="44"/>
  <c r="BB49" i="20"/>
  <c r="AZ49" i="20"/>
  <c r="AZ26" i="20"/>
  <c r="BB26" i="20"/>
  <c r="AZ69" i="20"/>
  <c r="BB69" i="20"/>
  <c r="K145" i="20"/>
  <c r="K146" i="20"/>
  <c r="C33" i="22" s="1"/>
  <c r="AV143" i="20"/>
  <c r="AZ52" i="19"/>
  <c r="AZ78" i="19"/>
  <c r="BB78" i="19"/>
  <c r="AZ27" i="44"/>
  <c r="AZ40" i="44"/>
  <c r="BB40" i="44"/>
  <c r="BB41" i="44" s="1"/>
  <c r="AZ17" i="44"/>
  <c r="BB17" i="20"/>
  <c r="AZ17" i="20"/>
  <c r="AZ88" i="44"/>
  <c r="AZ22" i="20"/>
  <c r="BB22" i="20"/>
  <c r="M63" i="20"/>
  <c r="AK63" i="20"/>
  <c r="AQ63" i="20"/>
  <c r="AT63" i="20"/>
  <c r="K90" i="20"/>
  <c r="K67" i="20"/>
  <c r="AZ84" i="20"/>
  <c r="BB84" i="20"/>
  <c r="AJ143" i="20"/>
  <c r="AZ51" i="19"/>
  <c r="BB79" i="19"/>
  <c r="AZ79" i="19"/>
  <c r="AZ86" i="19"/>
  <c r="BB86" i="19"/>
  <c r="AZ84" i="19"/>
  <c r="BB84" i="19"/>
  <c r="BB93" i="19"/>
  <c r="AZ93" i="19"/>
  <c r="BB34" i="47"/>
  <c r="AZ34" i="47"/>
  <c r="AZ20" i="19"/>
  <c r="AZ58" i="19"/>
  <c r="BB58" i="19"/>
  <c r="AZ28" i="47"/>
  <c r="AZ21" i="47"/>
  <c r="AZ15" i="28"/>
  <c r="X18" i="28"/>
  <c r="R18" i="28"/>
  <c r="AP18" i="28"/>
  <c r="AZ33" i="19"/>
  <c r="R17" i="19"/>
  <c r="L17" i="19"/>
  <c r="AJ17" i="19"/>
  <c r="O17" i="19"/>
  <c r="AZ34" i="19"/>
  <c r="BB34" i="19"/>
  <c r="O20" i="28"/>
  <c r="AA20" i="28"/>
  <c r="AM20" i="28"/>
  <c r="R20" i="28"/>
  <c r="AD20" i="28"/>
  <c r="AP20" i="28"/>
  <c r="U20" i="28"/>
  <c r="AG20" i="28"/>
  <c r="AS20" i="28"/>
  <c r="L20" i="28"/>
  <c r="X20" i="28"/>
  <c r="AJ20" i="28"/>
  <c r="AV20" i="28"/>
  <c r="AY20" i="28"/>
  <c r="K20" i="28"/>
  <c r="AZ28" i="19"/>
  <c r="AS19" i="19"/>
  <c r="X19" i="19"/>
  <c r="AD19" i="19"/>
  <c r="R19" i="19"/>
  <c r="BB37" i="19"/>
  <c r="AZ37" i="19"/>
  <c r="AZ48" i="19"/>
  <c r="BB48" i="19"/>
  <c r="BB87" i="19"/>
  <c r="AZ105" i="19"/>
  <c r="BB105" i="19"/>
  <c r="E29" i="42"/>
  <c r="F29" i="42" s="1"/>
  <c r="G36" i="44" s="1"/>
  <c r="H36" i="44" s="1"/>
  <c r="E30" i="42"/>
  <c r="F30" i="42"/>
  <c r="G37" i="44"/>
  <c r="H37" i="44" s="1"/>
  <c r="E27" i="42"/>
  <c r="F27" i="42" s="1"/>
  <c r="G34" i="44" s="1"/>
  <c r="F26" i="42"/>
  <c r="G33" i="44" s="1"/>
  <c r="H33" i="44" s="1"/>
  <c r="AZ18" i="47"/>
  <c r="BB18" i="47"/>
  <c r="AZ66" i="44"/>
  <c r="AZ82" i="44"/>
  <c r="BB15" i="20"/>
  <c r="AZ15" i="20"/>
  <c r="AZ28" i="44"/>
  <c r="E83" i="23"/>
  <c r="F83" i="23" s="1"/>
  <c r="G89" i="20" s="1"/>
  <c r="F82" i="23"/>
  <c r="G88" i="20" s="1"/>
  <c r="V145" i="20"/>
  <c r="AH145" i="20"/>
  <c r="AT145" i="20"/>
  <c r="S145" i="20"/>
  <c r="AN145" i="20"/>
  <c r="Y145" i="20"/>
  <c r="AQ145" i="20"/>
  <c r="I145" i="20"/>
  <c r="L145" i="20"/>
  <c r="L146" i="20" s="1"/>
  <c r="AB145" i="20"/>
  <c r="P145" i="20"/>
  <c r="AK145" i="20"/>
  <c r="BA145" i="20"/>
  <c r="AE145" i="20"/>
  <c r="M145" i="20"/>
  <c r="O94" i="20"/>
  <c r="AD20" i="20"/>
  <c r="BB59" i="20"/>
  <c r="BB60" i="20" s="1"/>
  <c r="AZ59" i="20"/>
  <c r="K63" i="20"/>
  <c r="AM143" i="20"/>
  <c r="X143" i="20"/>
  <c r="K113" i="20"/>
  <c r="BB67" i="20"/>
  <c r="AZ67" i="20"/>
  <c r="K39" i="20"/>
  <c r="AT116" i="20"/>
  <c r="P64" i="44"/>
  <c r="AE64" i="44"/>
  <c r="BA64" i="44"/>
  <c r="BB64" i="44" s="1"/>
  <c r="AT64" i="44"/>
  <c r="M64" i="44"/>
  <c r="Y64" i="44"/>
  <c r="H22" i="32"/>
  <c r="H21" i="33"/>
  <c r="H23" i="33"/>
  <c r="H20" i="33"/>
  <c r="H20" i="39"/>
  <c r="H21" i="32"/>
  <c r="H19" i="36"/>
  <c r="H25" i="36" s="1"/>
  <c r="H23" i="36"/>
  <c r="H19" i="33"/>
  <c r="H25" i="33" s="1"/>
  <c r="H19" i="32"/>
  <c r="H25" i="32" s="1"/>
  <c r="H20" i="32"/>
  <c r="AZ90" i="20"/>
  <c r="BB90" i="20"/>
  <c r="I74" i="20"/>
  <c r="L74" i="20" s="1"/>
  <c r="AK74" i="20"/>
  <c r="AQ74" i="20"/>
  <c r="AW74" i="20"/>
  <c r="AT74" i="20"/>
  <c r="M74" i="20"/>
  <c r="AB74" i="20"/>
  <c r="Y74" i="20"/>
  <c r="BA74" i="20"/>
  <c r="S74" i="20"/>
  <c r="AN74" i="20"/>
  <c r="AE74" i="20"/>
  <c r="P74" i="20"/>
  <c r="AH74" i="20"/>
  <c r="V74" i="20"/>
  <c r="U20" i="20"/>
  <c r="H118" i="20"/>
  <c r="K118" i="20"/>
  <c r="I110" i="20"/>
  <c r="S110" i="20"/>
  <c r="AE110" i="20"/>
  <c r="AQ110" i="20"/>
  <c r="Y110" i="20"/>
  <c r="AW110" i="20"/>
  <c r="P110" i="20"/>
  <c r="AH110" i="20"/>
  <c r="AB110" i="20"/>
  <c r="AT110" i="20"/>
  <c r="M110" i="20"/>
  <c r="AK110" i="20"/>
  <c r="BA110" i="20"/>
  <c r="AN110" i="20"/>
  <c r="V110" i="20"/>
  <c r="H91" i="20"/>
  <c r="K91" i="20"/>
  <c r="H54" i="20"/>
  <c r="K54" i="20"/>
  <c r="Y32" i="20"/>
  <c r="AB32" i="20"/>
  <c r="S32" i="20"/>
  <c r="V32" i="20"/>
  <c r="AK32" i="20"/>
  <c r="AN32" i="20"/>
  <c r="AE32" i="20"/>
  <c r="AH32" i="20"/>
  <c r="AW32" i="20"/>
  <c r="I32" i="20"/>
  <c r="L32" i="20" s="1"/>
  <c r="AQ32" i="20"/>
  <c r="AT32" i="20"/>
  <c r="BA32" i="20"/>
  <c r="M32" i="20"/>
  <c r="K28" i="20"/>
  <c r="H28" i="20"/>
  <c r="H18" i="20"/>
  <c r="BA18" i="20" s="1"/>
  <c r="K18" i="20"/>
  <c r="S14" i="20"/>
  <c r="AE14" i="20"/>
  <c r="AT14" i="20"/>
  <c r="I14" i="20"/>
  <c r="L14" i="20" s="1"/>
  <c r="V14" i="20"/>
  <c r="AN14" i="20"/>
  <c r="AW14" i="20"/>
  <c r="AB14" i="20"/>
  <c r="AQ14" i="20"/>
  <c r="M14" i="20"/>
  <c r="P14" i="20"/>
  <c r="Y14" i="20"/>
  <c r="AK14" i="20"/>
  <c r="BA14" i="20"/>
  <c r="H53" i="20"/>
  <c r="K53" i="20"/>
  <c r="P116" i="20"/>
  <c r="AQ116" i="20"/>
  <c r="AK116" i="20"/>
  <c r="AH116" i="20"/>
  <c r="AB116" i="20"/>
  <c r="BA116" i="20"/>
  <c r="AW116" i="20"/>
  <c r="AN116" i="20"/>
  <c r="S116" i="20"/>
  <c r="M116" i="20"/>
  <c r="V116" i="20"/>
  <c r="I116" i="20"/>
  <c r="L116" i="20" s="1"/>
  <c r="AE116" i="20"/>
  <c r="Y116" i="20"/>
  <c r="K124" i="20"/>
  <c r="O124" i="20"/>
  <c r="AD124" i="20"/>
  <c r="AS124" i="20"/>
  <c r="R124" i="20"/>
  <c r="AG124" i="20"/>
  <c r="AV124" i="20"/>
  <c r="U124" i="20"/>
  <c r="AJ124" i="20"/>
  <c r="X124" i="20"/>
  <c r="AP124" i="20"/>
  <c r="AM124" i="20"/>
  <c r="AA124" i="20"/>
  <c r="AY124" i="20"/>
  <c r="BB124" i="20"/>
  <c r="AH14" i="20"/>
  <c r="P32" i="20"/>
  <c r="AB36" i="44"/>
  <c r="S33" i="22"/>
  <c r="AZ16" i="44"/>
  <c r="H97" i="20"/>
  <c r="K97" i="20"/>
  <c r="AN33" i="44"/>
  <c r="AZ49" i="19"/>
  <c r="BB49" i="19"/>
  <c r="AZ107" i="19"/>
  <c r="BB107" i="19"/>
  <c r="BB22" i="47"/>
  <c r="AZ22" i="47"/>
  <c r="H24" i="20"/>
  <c r="K24" i="20"/>
  <c r="BB31" i="20"/>
  <c r="AZ31" i="20"/>
  <c r="AZ145" i="20"/>
  <c r="BB145" i="20"/>
  <c r="BB146" i="20" s="1"/>
  <c r="AZ53" i="44"/>
  <c r="BB53" i="44"/>
  <c r="X20" i="20"/>
  <c r="K107" i="20"/>
  <c r="U107" i="20"/>
  <c r="AP107" i="20"/>
  <c r="AP108" i="20" s="1"/>
  <c r="X107" i="20"/>
  <c r="AG107" i="20"/>
  <c r="AS107" i="20"/>
  <c r="AS108" i="20" s="1"/>
  <c r="O107" i="20"/>
  <c r="AA107" i="20"/>
  <c r="AA108" i="20" s="1"/>
  <c r="AJ107" i="20"/>
  <c r="AV107" i="20"/>
  <c r="R107" i="20"/>
  <c r="R108" i="20" s="1"/>
  <c r="AD107" i="20"/>
  <c r="AM107" i="20"/>
  <c r="AM108" i="20"/>
  <c r="AZ35" i="19"/>
  <c r="BB35" i="19"/>
  <c r="U18" i="19"/>
  <c r="L18" i="19"/>
  <c r="R18" i="19"/>
  <c r="AA18" i="19"/>
  <c r="AG18" i="19"/>
  <c r="AJ18" i="19"/>
  <c r="AP18" i="19"/>
  <c r="AD18" i="19"/>
  <c r="AS18" i="19"/>
  <c r="O18" i="19"/>
  <c r="X18" i="19"/>
  <c r="AY18" i="19"/>
  <c r="AY17" i="44"/>
  <c r="O17" i="44"/>
  <c r="L17" i="44"/>
  <c r="AA17" i="44"/>
  <c r="AG17" i="44"/>
  <c r="K17" i="44"/>
  <c r="X17" i="44"/>
  <c r="AJ17" i="44"/>
  <c r="R17" i="44"/>
  <c r="AM17" i="44"/>
  <c r="H106" i="20"/>
  <c r="K106" i="20"/>
  <c r="K108" i="20"/>
  <c r="C27" i="22" s="1"/>
  <c r="O108" i="20"/>
  <c r="AA143" i="20"/>
  <c r="AG137" i="20"/>
  <c r="AA137" i="20"/>
  <c r="AV137" i="20"/>
  <c r="K137" i="20"/>
  <c r="AS137" i="20"/>
  <c r="U137" i="20"/>
  <c r="O137" i="20"/>
  <c r="L137" i="20"/>
  <c r="R137" i="20"/>
  <c r="X137" i="20"/>
  <c r="AD137" i="20"/>
  <c r="AM137" i="20"/>
  <c r="K135" i="20"/>
  <c r="U135" i="20"/>
  <c r="AD135" i="20"/>
  <c r="AV135" i="20"/>
  <c r="O135" i="20"/>
  <c r="X135" i="20"/>
  <c r="AM135" i="20"/>
  <c r="R135" i="20"/>
  <c r="AG135" i="20"/>
  <c r="AP135" i="20"/>
  <c r="AA135" i="20"/>
  <c r="AY135" i="20"/>
  <c r="AJ135" i="20"/>
  <c r="AP115" i="20"/>
  <c r="AJ115" i="20"/>
  <c r="AV115" i="20"/>
  <c r="O115" i="20"/>
  <c r="AD115" i="20"/>
  <c r="U115" i="20"/>
  <c r="AS115" i="20"/>
  <c r="AA115" i="20"/>
  <c r="R115" i="20"/>
  <c r="AM115" i="20"/>
  <c r="AY115" i="20"/>
  <c r="AB90" i="20"/>
  <c r="AT90" i="20"/>
  <c r="AE90" i="20"/>
  <c r="S90" i="20"/>
  <c r="AN90" i="20"/>
  <c r="I90" i="20"/>
  <c r="L90" i="20" s="1"/>
  <c r="AW90" i="20"/>
  <c r="AK90" i="20"/>
  <c r="V90" i="20"/>
  <c r="M90" i="20"/>
  <c r="AQ90" i="20"/>
  <c r="K114" i="20"/>
  <c r="K119" i="20"/>
  <c r="C29" i="22" s="1"/>
  <c r="H114" i="20"/>
  <c r="H96" i="20"/>
  <c r="K96" i="20"/>
  <c r="BA137" i="20"/>
  <c r="AW137" i="20"/>
  <c r="K134" i="20"/>
  <c r="X134" i="20"/>
  <c r="AJ134" i="20"/>
  <c r="AS134" i="20"/>
  <c r="R134" i="20"/>
  <c r="AV134" i="20"/>
  <c r="AD134" i="20"/>
  <c r="AP134" i="20"/>
  <c r="U134" i="20"/>
  <c r="AY134" i="20"/>
  <c r="AM134" i="20"/>
  <c r="AG134" i="20"/>
  <c r="AA134" i="20"/>
  <c r="O134" i="20"/>
  <c r="H127" i="20"/>
  <c r="K127" i="20"/>
  <c r="H126" i="20"/>
  <c r="K126" i="20"/>
  <c r="AQ103" i="20"/>
  <c r="BA103" i="20"/>
  <c r="I103" i="20"/>
  <c r="L103" i="20" s="1"/>
  <c r="V103" i="20"/>
  <c r="AB103" i="20"/>
  <c r="AE103" i="20"/>
  <c r="AH103" i="20"/>
  <c r="AN103" i="20"/>
  <c r="AT103" i="20"/>
  <c r="AK103" i="20"/>
  <c r="S103" i="20"/>
  <c r="AW103" i="20"/>
  <c r="AW84" i="20"/>
  <c r="AY84" i="20"/>
  <c r="AY82" i="20"/>
  <c r="AW82" i="20"/>
  <c r="V78" i="20"/>
  <c r="AH78" i="20"/>
  <c r="AT78" i="20"/>
  <c r="I78" i="20"/>
  <c r="L78" i="20"/>
  <c r="AQ78" i="20"/>
  <c r="AK78" i="20"/>
  <c r="P78" i="20"/>
  <c r="BA78" i="20"/>
  <c r="AW78" i="20"/>
  <c r="AB78" i="20"/>
  <c r="S78" i="20"/>
  <c r="M78" i="20"/>
  <c r="AY71" i="20"/>
  <c r="AW71" i="20"/>
  <c r="H68" i="20"/>
  <c r="K68" i="20"/>
  <c r="AY63" i="20"/>
  <c r="AW63" i="20"/>
  <c r="AV18" i="19"/>
  <c r="AK14" i="28"/>
  <c r="AB14" i="28"/>
  <c r="K130" i="20"/>
  <c r="AD130" i="20"/>
  <c r="AS130" i="20"/>
  <c r="R130" i="20"/>
  <c r="AG130" i="20"/>
  <c r="AV130" i="20"/>
  <c r="U130" i="20"/>
  <c r="AJ130" i="20"/>
  <c r="X130" i="20"/>
  <c r="AP130" i="20"/>
  <c r="O130" i="20"/>
  <c r="AM130" i="20"/>
  <c r="AY107" i="20"/>
  <c r="AW107" i="20"/>
  <c r="Y103" i="20"/>
  <c r="R81" i="20"/>
  <c r="AJ81" i="20"/>
  <c r="AS81" i="20"/>
  <c r="K81" i="20"/>
  <c r="AD81" i="20"/>
  <c r="AV81" i="20"/>
  <c r="L81" i="20"/>
  <c r="U81" i="20"/>
  <c r="AP81" i="20"/>
  <c r="AG81" i="20"/>
  <c r="AA81" i="20"/>
  <c r="O81" i="20"/>
  <c r="AM80" i="20"/>
  <c r="AV80" i="20"/>
  <c r="K80" i="20"/>
  <c r="AA80" i="20"/>
  <c r="R80" i="20"/>
  <c r="O80" i="20"/>
  <c r="AG80" i="20"/>
  <c r="AY80" i="20"/>
  <c r="X80" i="20"/>
  <c r="AD80" i="20"/>
  <c r="AS80" i="20"/>
  <c r="AW141" i="20"/>
  <c r="AY141" i="20"/>
  <c r="AY143" i="20" s="1"/>
  <c r="BA138" i="20"/>
  <c r="AY136" i="20"/>
  <c r="BA136" i="20"/>
  <c r="AW136" i="20"/>
  <c r="AQ135" i="20"/>
  <c r="AK135" i="20"/>
  <c r="BA135" i="20"/>
  <c r="I135" i="20"/>
  <c r="L135" i="20"/>
  <c r="AE135" i="20"/>
  <c r="Y135" i="20"/>
  <c r="AE134" i="20"/>
  <c r="BA134" i="20"/>
  <c r="I134" i="20"/>
  <c r="L134" i="20" s="1"/>
  <c r="Y134" i="20"/>
  <c r="AK134" i="20"/>
  <c r="S134" i="20"/>
  <c r="BA133" i="20"/>
  <c r="AK133" i="20"/>
  <c r="Y133" i="20"/>
  <c r="AE133" i="20"/>
  <c r="AE132" i="20"/>
  <c r="I132" i="20"/>
  <c r="L132" i="20" s="1"/>
  <c r="M132" i="20"/>
  <c r="Y132" i="20"/>
  <c r="AH125" i="20"/>
  <c r="P125" i="20"/>
  <c r="AB125" i="20"/>
  <c r="Y123" i="20"/>
  <c r="S123" i="20"/>
  <c r="AK123" i="20"/>
  <c r="BA123" i="20"/>
  <c r="P123" i="20"/>
  <c r="AE123" i="20"/>
  <c r="K121" i="20"/>
  <c r="AE107" i="20"/>
  <c r="I107" i="20"/>
  <c r="L107" i="20" s="1"/>
  <c r="M107" i="20"/>
  <c r="BA107" i="20"/>
  <c r="P102" i="20"/>
  <c r="AE102" i="20"/>
  <c r="AW102" i="20"/>
  <c r="I102" i="20"/>
  <c r="L102" i="20"/>
  <c r="M102" i="20"/>
  <c r="AQ102" i="20"/>
  <c r="Y102" i="20"/>
  <c r="P100" i="20"/>
  <c r="AE100" i="20"/>
  <c r="AW100" i="20"/>
  <c r="I100" i="20"/>
  <c r="L100" i="20" s="1"/>
  <c r="M100" i="20"/>
  <c r="AQ100" i="20"/>
  <c r="Y100" i="20"/>
  <c r="S92" i="20"/>
  <c r="AK92" i="20"/>
  <c r="BA92" i="20"/>
  <c r="P92" i="20"/>
  <c r="AE92" i="20"/>
  <c r="I92" i="20"/>
  <c r="L92" i="20" s="1"/>
  <c r="M92" i="20"/>
  <c r="AQ92" i="20"/>
  <c r="AS90" i="20"/>
  <c r="M85" i="20"/>
  <c r="I85" i="20"/>
  <c r="L85" i="20" s="1"/>
  <c r="AH83" i="20"/>
  <c r="AN83" i="20"/>
  <c r="AY81" i="20"/>
  <c r="AW81" i="20"/>
  <c r="AW79" i="20"/>
  <c r="AE75" i="20"/>
  <c r="M75" i="20"/>
  <c r="BA75" i="20"/>
  <c r="AN71" i="20"/>
  <c r="AY49" i="20"/>
  <c r="K131" i="20"/>
  <c r="X131" i="20"/>
  <c r="AJ131" i="20"/>
  <c r="AV131" i="20"/>
  <c r="O131" i="20"/>
  <c r="AA131" i="20"/>
  <c r="AM131" i="20"/>
  <c r="R131" i="20"/>
  <c r="AD131" i="20"/>
  <c r="AP131" i="20"/>
  <c r="AY131" i="20"/>
  <c r="L123" i="20"/>
  <c r="R123" i="20"/>
  <c r="AJ123" i="20"/>
  <c r="AS123" i="20"/>
  <c r="AD123" i="20"/>
  <c r="AV123" i="20"/>
  <c r="K123" i="20"/>
  <c r="U123" i="20"/>
  <c r="AP123" i="20"/>
  <c r="I122" i="20"/>
  <c r="L122" i="20" s="1"/>
  <c r="BA122" i="20"/>
  <c r="AE122" i="20"/>
  <c r="K110" i="20"/>
  <c r="K111" i="20" s="1"/>
  <c r="C28" i="22" s="1"/>
  <c r="R110" i="20"/>
  <c r="R111" i="20"/>
  <c r="AD110" i="20"/>
  <c r="AD111" i="20"/>
  <c r="AP110" i="20"/>
  <c r="AP111" i="20" s="1"/>
  <c r="X110" i="20"/>
  <c r="X111" i="20" s="1"/>
  <c r="AJ110" i="20"/>
  <c r="AJ111" i="20"/>
  <c r="AV110" i="20"/>
  <c r="AV111" i="20"/>
  <c r="L110" i="20"/>
  <c r="L111" i="20" s="1"/>
  <c r="AY108" i="20"/>
  <c r="R88" i="20"/>
  <c r="X88" i="20"/>
  <c r="AJ88" i="20"/>
  <c r="AD88" i="20"/>
  <c r="AV88" i="20"/>
  <c r="U88" i="20"/>
  <c r="AG88" i="20"/>
  <c r="AP88" i="20"/>
  <c r="AT82" i="20"/>
  <c r="AQ82" i="20"/>
  <c r="M82" i="20"/>
  <c r="I82" i="20"/>
  <c r="BA82" i="20"/>
  <c r="AN82" i="20"/>
  <c r="V82" i="20"/>
  <c r="Y82" i="20"/>
  <c r="S82" i="20"/>
  <c r="P82" i="20"/>
  <c r="M73" i="20"/>
  <c r="AN73" i="20"/>
  <c r="P73" i="20"/>
  <c r="AT73" i="20"/>
  <c r="S73" i="20"/>
  <c r="AE73" i="20"/>
  <c r="S71" i="20"/>
  <c r="AE71" i="20"/>
  <c r="AQ71" i="20"/>
  <c r="V71" i="20"/>
  <c r="AH71" i="20"/>
  <c r="AT71" i="20"/>
  <c r="BA71" i="20"/>
  <c r="M71" i="20"/>
  <c r="Y71" i="20"/>
  <c r="AK71" i="20"/>
  <c r="O49" i="20"/>
  <c r="U49" i="20"/>
  <c r="AG49" i="20"/>
  <c r="AS49" i="20"/>
  <c r="K49" i="20"/>
  <c r="X49" i="20"/>
  <c r="AJ49" i="20"/>
  <c r="AV49" i="20"/>
  <c r="R49" i="20"/>
  <c r="AD49" i="20"/>
  <c r="AP49" i="20"/>
  <c r="AQ138" i="20"/>
  <c r="AE138" i="20"/>
  <c r="M138" i="20"/>
  <c r="U136" i="20"/>
  <c r="AS136" i="20"/>
  <c r="O136" i="20"/>
  <c r="AM136" i="20"/>
  <c r="AG136" i="20"/>
  <c r="P131" i="20"/>
  <c r="AQ131" i="20"/>
  <c r="S131" i="20"/>
  <c r="V131" i="20"/>
  <c r="AB131" i="20"/>
  <c r="M131" i="20"/>
  <c r="I131" i="20"/>
  <c r="L131" i="20" s="1"/>
  <c r="AK131" i="20"/>
  <c r="AH131" i="20"/>
  <c r="AN131" i="20"/>
  <c r="AE131" i="20"/>
  <c r="R125" i="20"/>
  <c r="AJ125" i="20"/>
  <c r="AG125" i="20"/>
  <c r="U125" i="20"/>
  <c r="AD125" i="20"/>
  <c r="AV125" i="20"/>
  <c r="K125" i="20"/>
  <c r="AS125" i="20"/>
  <c r="AP125" i="20"/>
  <c r="AA125" i="20"/>
  <c r="O125" i="20"/>
  <c r="AY123" i="20"/>
  <c r="AW123" i="20"/>
  <c r="AN115" i="20"/>
  <c r="P115" i="20"/>
  <c r="AB115" i="20"/>
  <c r="U108" i="20"/>
  <c r="R90" i="20"/>
  <c r="AG90" i="20"/>
  <c r="AV90" i="20"/>
  <c r="U90" i="20"/>
  <c r="AJ90" i="20"/>
  <c r="X90" i="20"/>
  <c r="AP90" i="20"/>
  <c r="AS88" i="20"/>
  <c r="AP85" i="20"/>
  <c r="AD85" i="20"/>
  <c r="AD82" i="20"/>
  <c r="AJ82" i="20"/>
  <c r="R82" i="20"/>
  <c r="L82" i="20"/>
  <c r="Y81" i="20"/>
  <c r="S81" i="20"/>
  <c r="AK81" i="20"/>
  <c r="BA81" i="20"/>
  <c r="P81" i="20"/>
  <c r="AE81" i="20"/>
  <c r="P79" i="20"/>
  <c r="AT79" i="20"/>
  <c r="V79" i="20"/>
  <c r="AB79" i="20"/>
  <c r="O78" i="20"/>
  <c r="K78" i="20"/>
  <c r="X78" i="20"/>
  <c r="AJ78" i="20"/>
  <c r="AV78" i="20"/>
  <c r="R78" i="20"/>
  <c r="AD78" i="20"/>
  <c r="AP78" i="20"/>
  <c r="AK73" i="20"/>
  <c r="X73" i="20"/>
  <c r="AD73" i="20"/>
  <c r="R73" i="20"/>
  <c r="AV73" i="20"/>
  <c r="AP72" i="20"/>
  <c r="X72" i="20"/>
  <c r="AG72" i="20"/>
  <c r="P71" i="20"/>
  <c r="AD89" i="20"/>
  <c r="R89" i="20"/>
  <c r="X75" i="20"/>
  <c r="AM69" i="20"/>
  <c r="O69" i="20"/>
  <c r="AS64" i="20"/>
  <c r="AS65" i="20"/>
  <c r="AD64" i="20"/>
  <c r="AD65" i="20"/>
  <c r="AJ46" i="20"/>
  <c r="AB17" i="20"/>
  <c r="P17" i="20"/>
  <c r="AH17" i="20"/>
  <c r="V17" i="20"/>
  <c r="AN17" i="20"/>
  <c r="V16" i="20"/>
  <c r="AH16" i="20"/>
  <c r="AT16" i="20"/>
  <c r="Y16" i="20"/>
  <c r="AK16" i="20"/>
  <c r="P16" i="20"/>
  <c r="M16" i="20"/>
  <c r="AQ16" i="20"/>
  <c r="I16" i="20"/>
  <c r="L16" i="20"/>
  <c r="S16" i="20"/>
  <c r="AE16" i="20"/>
  <c r="BA16" i="20"/>
  <c r="AQ31" i="20"/>
  <c r="S31" i="20"/>
  <c r="K27" i="20"/>
  <c r="H27" i="20"/>
  <c r="AG145" i="20"/>
  <c r="AG146" i="20"/>
  <c r="BA142" i="20"/>
  <c r="AH142" i="20"/>
  <c r="V142" i="20"/>
  <c r="AN141" i="20"/>
  <c r="AT137" i="20"/>
  <c r="AH137" i="20"/>
  <c r="P137" i="20"/>
  <c r="AV132" i="20"/>
  <c r="AJ132" i="20"/>
  <c r="X132" i="20"/>
  <c r="AP127" i="20"/>
  <c r="X127" i="20"/>
  <c r="AM117" i="20"/>
  <c r="AA117" i="20"/>
  <c r="AS116" i="20"/>
  <c r="AD116" i="20"/>
  <c r="AV114" i="20"/>
  <c r="AG114" i="20"/>
  <c r="AG102" i="20"/>
  <c r="X102" i="20"/>
  <c r="AW101" i="20"/>
  <c r="AP101" i="20"/>
  <c r="AD101" i="20"/>
  <c r="U101" i="20"/>
  <c r="AG100" i="20"/>
  <c r="X100" i="20"/>
  <c r="AP99" i="20"/>
  <c r="AD99" i="20"/>
  <c r="U99" i="20"/>
  <c r="AS98" i="20"/>
  <c r="AJ98" i="20"/>
  <c r="Y98" i="20"/>
  <c r="R98" i="20"/>
  <c r="AS97" i="20"/>
  <c r="AG97" i="20"/>
  <c r="U97" i="20"/>
  <c r="BA93" i="20"/>
  <c r="AP92" i="20"/>
  <c r="U92" i="20"/>
  <c r="AP91" i="20"/>
  <c r="AD91" i="20"/>
  <c r="R91" i="20"/>
  <c r="AM89" i="20"/>
  <c r="AA89" i="20"/>
  <c r="O64" i="20"/>
  <c r="AA64" i="20"/>
  <c r="AM64" i="20"/>
  <c r="V56" i="20"/>
  <c r="AT56" i="20"/>
  <c r="U52" i="20"/>
  <c r="AG52" i="20"/>
  <c r="AP52" i="20"/>
  <c r="O52" i="20"/>
  <c r="X52" i="20"/>
  <c r="AJ52" i="20"/>
  <c r="AS52" i="20"/>
  <c r="AY52" i="20"/>
  <c r="AY57" i="20"/>
  <c r="R52" i="20"/>
  <c r="R57" i="20" s="1"/>
  <c r="AA52" i="20"/>
  <c r="AA57" i="20" s="1"/>
  <c r="AV52" i="20"/>
  <c r="BA19" i="20"/>
  <c r="AH19" i="20"/>
  <c r="P19" i="20"/>
  <c r="AN19" i="20"/>
  <c r="AW19" i="20"/>
  <c r="AB19" i="20"/>
  <c r="AT19" i="20"/>
  <c r="AH49" i="20"/>
  <c r="AT49" i="20"/>
  <c r="AN49" i="20"/>
  <c r="P49" i="20"/>
  <c r="AB49" i="20"/>
  <c r="H36" i="20"/>
  <c r="K36" i="20"/>
  <c r="AK30" i="20"/>
  <c r="M30" i="20"/>
  <c r="Y30" i="20"/>
  <c r="AE141" i="20"/>
  <c r="AP102" i="20"/>
  <c r="U102" i="20"/>
  <c r="AP100" i="20"/>
  <c r="U100" i="20"/>
  <c r="AQ98" i="20"/>
  <c r="AG98" i="20"/>
  <c r="M98" i="20"/>
  <c r="AP97" i="20"/>
  <c r="AD97" i="20"/>
  <c r="AM91" i="20"/>
  <c r="AA91" i="20"/>
  <c r="AM52" i="20"/>
  <c r="AM57" i="20" s="1"/>
  <c r="O46" i="20"/>
  <c r="AA46" i="20"/>
  <c r="AM46" i="20"/>
  <c r="R46" i="20"/>
  <c r="AD46" i="20"/>
  <c r="AP46" i="20"/>
  <c r="AY46" i="20"/>
  <c r="AY50" i="20"/>
  <c r="U46" i="20"/>
  <c r="AG46" i="20"/>
  <c r="AS46" i="20"/>
  <c r="K32" i="20"/>
  <c r="I35" i="20"/>
  <c r="L35" i="20" s="1"/>
  <c r="S35" i="20"/>
  <c r="AE35" i="20"/>
  <c r="BA35" i="20"/>
  <c r="AQ35" i="20"/>
  <c r="AH15" i="20"/>
  <c r="P15" i="20"/>
  <c r="AB15" i="20"/>
  <c r="AM48" i="20"/>
  <c r="AA48" i="20"/>
  <c r="O48" i="20"/>
  <c r="AP47" i="20"/>
  <c r="X47" i="20"/>
  <c r="O47" i="20"/>
  <c r="AS45" i="20"/>
  <c r="AD45" i="20"/>
  <c r="O45" i="20"/>
  <c r="AM44" i="20"/>
  <c r="AM50" i="20" s="1"/>
  <c r="AA44" i="20"/>
  <c r="AV41" i="20"/>
  <c r="AG41" i="20"/>
  <c r="AP40" i="20"/>
  <c r="AG40" i="20"/>
  <c r="U40" i="20"/>
  <c r="AS37" i="20"/>
  <c r="AD37" i="20"/>
  <c r="O37" i="20"/>
  <c r="AP36" i="20"/>
  <c r="AG36" i="20"/>
  <c r="AG35" i="20"/>
  <c r="U35" i="20"/>
  <c r="K35" i="20"/>
  <c r="AM32" i="20"/>
  <c r="AA32" i="20"/>
  <c r="R32" i="20"/>
  <c r="AV31" i="20"/>
  <c r="AJ31" i="20"/>
  <c r="U31" i="20"/>
  <c r="AY30" i="20"/>
  <c r="AS30" i="20"/>
  <c r="AJ30" i="20"/>
  <c r="O30" i="20"/>
  <c r="AP27" i="20"/>
  <c r="X27" i="20"/>
  <c r="O27" i="20"/>
  <c r="AM25" i="20"/>
  <c r="AA25" i="20"/>
  <c r="R25" i="20"/>
  <c r="AP23" i="20"/>
  <c r="AD23" i="20"/>
  <c r="AE22" i="20"/>
  <c r="P22" i="20"/>
  <c r="AG17" i="20"/>
  <c r="AS16" i="20"/>
  <c r="BE15" i="20"/>
  <c r="AS15" i="20"/>
  <c r="R15" i="20"/>
  <c r="K14" i="20"/>
  <c r="AM13" i="20"/>
  <c r="AA13" i="20"/>
  <c r="O13" i="20"/>
  <c r="E93" i="23"/>
  <c r="F93" i="23" s="1"/>
  <c r="G99" i="20" s="1"/>
  <c r="H99" i="20" s="1"/>
  <c r="F42" i="23"/>
  <c r="G52" i="20" s="1"/>
  <c r="H52" i="20" s="1"/>
  <c r="E31" i="23"/>
  <c r="F31" i="23" s="1"/>
  <c r="G41" i="20" s="1"/>
  <c r="AB82" i="44"/>
  <c r="P82" i="44"/>
  <c r="AV79" i="44"/>
  <c r="X79" i="44"/>
  <c r="AW67" i="44"/>
  <c r="U66" i="44"/>
  <c r="AV64" i="44"/>
  <c r="M55" i="44"/>
  <c r="AE55" i="44"/>
  <c r="BA55" i="44"/>
  <c r="P55" i="44"/>
  <c r="S55" i="44"/>
  <c r="I55" i="44"/>
  <c r="L55" i="44" s="1"/>
  <c r="AK55" i="44"/>
  <c r="AB54" i="44"/>
  <c r="P54" i="44"/>
  <c r="AE40" i="44"/>
  <c r="AT40" i="44"/>
  <c r="M40" i="44"/>
  <c r="V40" i="44"/>
  <c r="AQ40" i="44"/>
  <c r="I40" i="44"/>
  <c r="L40" i="44" s="1"/>
  <c r="L41" i="44" s="1"/>
  <c r="S40" i="44"/>
  <c r="AH40" i="44"/>
  <c r="AB20" i="44"/>
  <c r="AT20" i="44"/>
  <c r="AN20" i="44"/>
  <c r="V20" i="44"/>
  <c r="P20" i="44"/>
  <c r="AH20" i="44"/>
  <c r="V18" i="44"/>
  <c r="AT18" i="44"/>
  <c r="P18" i="44"/>
  <c r="AB18" i="44"/>
  <c r="AH18" i="44"/>
  <c r="AV44" i="20"/>
  <c r="AJ44" i="20"/>
  <c r="X44" i="20"/>
  <c r="O44" i="20"/>
  <c r="O50" i="20" s="1"/>
  <c r="AM40" i="20"/>
  <c r="AM42" i="20" s="1"/>
  <c r="AD40" i="20"/>
  <c r="R40" i="20"/>
  <c r="AV32" i="20"/>
  <c r="AJ32" i="20"/>
  <c r="O32" i="20"/>
  <c r="AS31" i="20"/>
  <c r="AG31" i="20"/>
  <c r="AP30" i="20"/>
  <c r="AG30" i="20"/>
  <c r="X30" i="20"/>
  <c r="AP29" i="20"/>
  <c r="AD29" i="20"/>
  <c r="R29" i="20"/>
  <c r="BE25" i="20"/>
  <c r="AV25" i="20"/>
  <c r="AJ25" i="20"/>
  <c r="O25" i="20"/>
  <c r="AA16" i="20"/>
  <c r="AJ15" i="20"/>
  <c r="E38" i="23"/>
  <c r="F38" i="23" s="1"/>
  <c r="G48" i="20" s="1"/>
  <c r="E36" i="23"/>
  <c r="F36" i="23" s="1"/>
  <c r="G46" i="20" s="1"/>
  <c r="E34" i="23"/>
  <c r="F34" i="23"/>
  <c r="G44" i="20" s="1"/>
  <c r="H44" i="20" s="1"/>
  <c r="AM79" i="44"/>
  <c r="U78" i="44"/>
  <c r="AJ78" i="44"/>
  <c r="X78" i="44"/>
  <c r="AP78" i="44"/>
  <c r="AY78" i="44"/>
  <c r="AY66" i="44"/>
  <c r="AD66" i="44"/>
  <c r="R66" i="44"/>
  <c r="AJ64" i="44"/>
  <c r="AQ55" i="44"/>
  <c r="I50" i="44"/>
  <c r="S50" i="44"/>
  <c r="AE50" i="44"/>
  <c r="AQ50" i="44"/>
  <c r="BA50" i="44"/>
  <c r="S73" i="44"/>
  <c r="AK73" i="44"/>
  <c r="M27" i="44"/>
  <c r="AB27" i="44"/>
  <c r="AM62" i="20"/>
  <c r="AM65" i="20" s="1"/>
  <c r="AA62" i="20"/>
  <c r="AA65" i="20" s="1"/>
  <c r="AV55" i="20"/>
  <c r="AG55" i="20"/>
  <c r="AP54" i="20"/>
  <c r="AG54" i="20"/>
  <c r="AG53" i="20"/>
  <c r="AS48" i="20"/>
  <c r="AG48" i="20"/>
  <c r="AV47" i="20"/>
  <c r="AG47" i="20"/>
  <c r="AJ45" i="20"/>
  <c r="AS44" i="20"/>
  <c r="AG44" i="20"/>
  <c r="U44" i="20"/>
  <c r="AV40" i="20"/>
  <c r="AA40" i="20"/>
  <c r="AA42" i="20"/>
  <c r="AJ37" i="20"/>
  <c r="AV35" i="20"/>
  <c r="AP35" i="20"/>
  <c r="AD35" i="20"/>
  <c r="AS32" i="20"/>
  <c r="AG32" i="20"/>
  <c r="X32" i="20"/>
  <c r="AD31" i="20"/>
  <c r="AM30" i="20"/>
  <c r="AD30" i="20"/>
  <c r="U30" i="20"/>
  <c r="AV29" i="20"/>
  <c r="AJ29" i="20"/>
  <c r="X29" i="20"/>
  <c r="O29" i="20"/>
  <c r="AV27" i="20"/>
  <c r="AG27" i="20"/>
  <c r="R27" i="20"/>
  <c r="AS25" i="20"/>
  <c r="AG25" i="20"/>
  <c r="X25" i="20"/>
  <c r="BE16" i="20"/>
  <c r="AM14" i="20"/>
  <c r="AS13" i="20"/>
  <c r="AG13" i="20"/>
  <c r="R79" i="44"/>
  <c r="AD79" i="44"/>
  <c r="AP79" i="44"/>
  <c r="U79" i="44"/>
  <c r="AG79" i="44"/>
  <c r="AS79" i="44"/>
  <c r="AV66" i="44"/>
  <c r="AA66" i="44"/>
  <c r="Y55" i="44"/>
  <c r="AW54" i="44"/>
  <c r="X53" i="44"/>
  <c r="AV53" i="44"/>
  <c r="AG53" i="44"/>
  <c r="O53" i="44"/>
  <c r="AJ53" i="44"/>
  <c r="R49" i="44"/>
  <c r="AA49" i="44"/>
  <c r="AM49" i="44"/>
  <c r="O49" i="44"/>
  <c r="AS49" i="44"/>
  <c r="U49" i="44"/>
  <c r="AG49" i="44"/>
  <c r="AV49" i="44"/>
  <c r="AB47" i="44"/>
  <c r="I63" i="44"/>
  <c r="S63" i="44"/>
  <c r="AE63" i="44"/>
  <c r="AQ63" i="44"/>
  <c r="BA63" i="44"/>
  <c r="U76" i="44"/>
  <c r="AS76" i="44"/>
  <c r="P67" i="44"/>
  <c r="AE67" i="44"/>
  <c r="AQ67" i="44"/>
  <c r="BA67" i="44"/>
  <c r="X66" i="44"/>
  <c r="AG66" i="44"/>
  <c r="AP66" i="44"/>
  <c r="O66" i="44"/>
  <c r="AJ66" i="44"/>
  <c r="AS66" i="44"/>
  <c r="O64" i="44"/>
  <c r="AA64" i="44"/>
  <c r="AM64" i="44"/>
  <c r="R64" i="44"/>
  <c r="AD64" i="44"/>
  <c r="AP64" i="44"/>
  <c r="U64" i="44"/>
  <c r="AG64" i="44"/>
  <c r="AS64" i="44"/>
  <c r="AS55" i="44"/>
  <c r="AG55" i="44"/>
  <c r="U55" i="44"/>
  <c r="V25" i="44"/>
  <c r="Y25" i="44"/>
  <c r="AN25" i="44"/>
  <c r="M25" i="44"/>
  <c r="AB25" i="44"/>
  <c r="P25" i="44"/>
  <c r="AH25" i="44"/>
  <c r="AT25" i="44"/>
  <c r="E62" i="42"/>
  <c r="E22" i="42"/>
  <c r="F22" i="42" s="1"/>
  <c r="G30" i="44" s="1"/>
  <c r="H30" i="44" s="1"/>
  <c r="AM35" i="47"/>
  <c r="O35" i="47"/>
  <c r="I33" i="47"/>
  <c r="AB33" i="47"/>
  <c r="AH33" i="47"/>
  <c r="AY27" i="47"/>
  <c r="AW27" i="47"/>
  <c r="AS26" i="47"/>
  <c r="AY16" i="47"/>
  <c r="AW16" i="47"/>
  <c r="BA16" i="47"/>
  <c r="AA14" i="47"/>
  <c r="X104" i="19"/>
  <c r="AQ44" i="44"/>
  <c r="AE44" i="44"/>
  <c r="S44" i="44"/>
  <c r="AG40" i="44"/>
  <c r="AG41" i="44"/>
  <c r="K40" i="44"/>
  <c r="K41" i="44" s="1"/>
  <c r="C20" i="43" s="1"/>
  <c r="J36" i="44"/>
  <c r="J33" i="44"/>
  <c r="AT19" i="44"/>
  <c r="J13" i="44"/>
  <c r="F18" i="42"/>
  <c r="G26" i="44" s="1"/>
  <c r="H26" i="44" s="1"/>
  <c r="AQ38" i="47"/>
  <c r="AJ38" i="47"/>
  <c r="AD38" i="47"/>
  <c r="V38" i="47"/>
  <c r="P38" i="47"/>
  <c r="L38" i="47"/>
  <c r="AY35" i="47"/>
  <c r="AS35" i="47"/>
  <c r="AD35" i="47"/>
  <c r="U35" i="47"/>
  <c r="BA33" i="47"/>
  <c r="AT33" i="47"/>
  <c r="S33" i="47"/>
  <c r="O33" i="47"/>
  <c r="U33" i="47"/>
  <c r="AP33" i="47"/>
  <c r="AV33" i="47"/>
  <c r="M32" i="47"/>
  <c r="V32" i="47"/>
  <c r="AE32" i="47"/>
  <c r="AT32" i="47"/>
  <c r="R29" i="47"/>
  <c r="AJ29" i="47"/>
  <c r="AS29" i="47"/>
  <c r="K29" i="47"/>
  <c r="AG29" i="47"/>
  <c r="AV29" i="47"/>
  <c r="AG26" i="47"/>
  <c r="L13" i="47"/>
  <c r="BA125" i="19"/>
  <c r="AY125" i="19"/>
  <c r="AW125" i="19"/>
  <c r="I44" i="44"/>
  <c r="O40" i="44"/>
  <c r="O41" i="44"/>
  <c r="J34" i="44"/>
  <c r="J30" i="44"/>
  <c r="J29" i="44"/>
  <c r="J27" i="44"/>
  <c r="AY27" i="44" s="1"/>
  <c r="J26" i="44"/>
  <c r="J21" i="44"/>
  <c r="V19" i="44"/>
  <c r="E21" i="42"/>
  <c r="F21" i="42"/>
  <c r="G29" i="44" s="1"/>
  <c r="H29" i="44"/>
  <c r="BA38" i="47"/>
  <c r="AV38" i="47"/>
  <c r="AP38" i="47"/>
  <c r="AH38" i="47"/>
  <c r="AB38" i="47"/>
  <c r="U38" i="47"/>
  <c r="AA35" i="47"/>
  <c r="AS33" i="47"/>
  <c r="AJ33" i="47"/>
  <c r="AA33" i="47"/>
  <c r="R33" i="47"/>
  <c r="L33" i="47"/>
  <c r="AH32" i="47"/>
  <c r="Y32" i="47"/>
  <c r="AY29" i="47"/>
  <c r="AP29" i="47"/>
  <c r="I29" i="47"/>
  <c r="L29" i="47"/>
  <c r="AB29" i="47"/>
  <c r="V29" i="47"/>
  <c r="AN29" i="47"/>
  <c r="M28" i="47"/>
  <c r="AT28" i="47"/>
  <c r="V21" i="47"/>
  <c r="AW21" i="47"/>
  <c r="AT21" i="47"/>
  <c r="AY15" i="47"/>
  <c r="H15" i="47"/>
  <c r="G20" i="47"/>
  <c r="O97" i="19"/>
  <c r="AD97" i="19"/>
  <c r="AS97" i="19"/>
  <c r="R97" i="19"/>
  <c r="AG97" i="19"/>
  <c r="U97" i="19"/>
  <c r="AA97" i="19"/>
  <c r="AM97" i="19"/>
  <c r="K97" i="19"/>
  <c r="AP97" i="19"/>
  <c r="AT44" i="44"/>
  <c r="AH44" i="44"/>
  <c r="V44" i="44"/>
  <c r="K26" i="47"/>
  <c r="X26" i="47"/>
  <c r="AJ26" i="47"/>
  <c r="AV26" i="47"/>
  <c r="O26" i="47"/>
  <c r="AA26" i="47"/>
  <c r="AM26" i="47"/>
  <c r="R26" i="47"/>
  <c r="AD26" i="47"/>
  <c r="AP26" i="47"/>
  <c r="K14" i="47"/>
  <c r="AP14" i="47"/>
  <c r="X14" i="47"/>
  <c r="AG14" i="47"/>
  <c r="O14" i="47"/>
  <c r="AV14" i="47"/>
  <c r="U105" i="19"/>
  <c r="AS105" i="19"/>
  <c r="AG105" i="19"/>
  <c r="R93" i="19"/>
  <c r="AG93" i="19"/>
  <c r="U93" i="19"/>
  <c r="AM93" i="19"/>
  <c r="K93" i="19"/>
  <c r="AA93" i="19"/>
  <c r="AP93" i="19"/>
  <c r="K92" i="19"/>
  <c r="AD92" i="19"/>
  <c r="AM92" i="19"/>
  <c r="AV92" i="19"/>
  <c r="U92" i="19"/>
  <c r="AP92" i="19"/>
  <c r="O92" i="19"/>
  <c r="X92" i="19"/>
  <c r="AG92" i="19"/>
  <c r="AY92" i="19"/>
  <c r="R91" i="19"/>
  <c r="AJ91" i="19"/>
  <c r="AV91" i="19"/>
  <c r="K91" i="19"/>
  <c r="AD91" i="19"/>
  <c r="AY91" i="19"/>
  <c r="K87" i="19"/>
  <c r="U87" i="19"/>
  <c r="AP87" i="19"/>
  <c r="L87" i="19"/>
  <c r="X87" i="19"/>
  <c r="AG87" i="19"/>
  <c r="O87" i="19"/>
  <c r="AA87" i="19"/>
  <c r="AJ87" i="19"/>
  <c r="AS87" i="19"/>
  <c r="O86" i="19"/>
  <c r="AJ86" i="19"/>
  <c r="AV86" i="19"/>
  <c r="R86" i="19"/>
  <c r="AA86" i="19"/>
  <c r="AM86" i="19"/>
  <c r="U86" i="19"/>
  <c r="AD86" i="19"/>
  <c r="AP86" i="19"/>
  <c r="AV85" i="19"/>
  <c r="K85" i="19"/>
  <c r="R84" i="19"/>
  <c r="AD84" i="19"/>
  <c r="U84" i="19"/>
  <c r="AM84" i="19"/>
  <c r="X84" i="19"/>
  <c r="AP84" i="19"/>
  <c r="AG76" i="19"/>
  <c r="X76" i="19"/>
  <c r="AV76" i="19"/>
  <c r="O73" i="19"/>
  <c r="AM73" i="19"/>
  <c r="U73" i="19"/>
  <c r="X73" i="19"/>
  <c r="AP73" i="19"/>
  <c r="AP27" i="47"/>
  <c r="AG27" i="47"/>
  <c r="R27" i="47"/>
  <c r="L27" i="47"/>
  <c r="AS20" i="47"/>
  <c r="AD20" i="47"/>
  <c r="O20" i="47"/>
  <c r="AK14" i="47"/>
  <c r="Y14" i="47"/>
  <c r="I14" i="47"/>
  <c r="L14" i="47"/>
  <c r="X13" i="47"/>
  <c r="BA123" i="19"/>
  <c r="AQ123" i="19"/>
  <c r="AE123" i="19"/>
  <c r="S123" i="19"/>
  <c r="I123" i="19"/>
  <c r="L123" i="19"/>
  <c r="AW122" i="19"/>
  <c r="AK122" i="19"/>
  <c r="Y122" i="19"/>
  <c r="M122" i="19"/>
  <c r="AN121" i="19"/>
  <c r="AB121" i="19"/>
  <c r="P121" i="19"/>
  <c r="AN120" i="19"/>
  <c r="AB120" i="19"/>
  <c r="P120" i="19"/>
  <c r="AN119" i="19"/>
  <c r="AB119" i="19"/>
  <c r="P119" i="19"/>
  <c r="BA117" i="19"/>
  <c r="BA116" i="19"/>
  <c r="AT116" i="19"/>
  <c r="AK116" i="19"/>
  <c r="AB116" i="19"/>
  <c r="S116" i="19"/>
  <c r="O116" i="19"/>
  <c r="AT115" i="19"/>
  <c r="AH115" i="19"/>
  <c r="V115" i="19"/>
  <c r="I115" i="19"/>
  <c r="L115" i="19"/>
  <c r="AT114" i="19"/>
  <c r="AK114" i="19"/>
  <c r="AB114" i="19"/>
  <c r="S114" i="19"/>
  <c r="O114" i="19"/>
  <c r="AW113" i="19"/>
  <c r="AK113" i="19"/>
  <c r="S113" i="19"/>
  <c r="V113" i="19"/>
  <c r="AW112" i="19"/>
  <c r="AK112" i="19"/>
  <c r="Y112" i="19"/>
  <c r="M112" i="19"/>
  <c r="AW111" i="19"/>
  <c r="AK111" i="19"/>
  <c r="Y111" i="19"/>
  <c r="M111" i="19"/>
  <c r="AT110" i="19"/>
  <c r="AH110" i="19"/>
  <c r="V110" i="19"/>
  <c r="I110" i="19"/>
  <c r="L110" i="19" s="1"/>
  <c r="AS109" i="19"/>
  <c r="BA108" i="19"/>
  <c r="BB108" i="19" s="1"/>
  <c r="AN107" i="19"/>
  <c r="AG107" i="19"/>
  <c r="Y107" i="19"/>
  <c r="P107" i="19"/>
  <c r="AQ106" i="19"/>
  <c r="AE106" i="19"/>
  <c r="V106" i="19"/>
  <c r="BA104" i="19"/>
  <c r="AN104" i="19"/>
  <c r="AB104" i="19"/>
  <c r="S104" i="19"/>
  <c r="AT102" i="19"/>
  <c r="AH102" i="19"/>
  <c r="V102" i="19"/>
  <c r="AM101" i="19"/>
  <c r="AV100" i="19"/>
  <c r="AJ100" i="19"/>
  <c r="V100" i="19"/>
  <c r="R99" i="19"/>
  <c r="AG99" i="19"/>
  <c r="U99" i="19"/>
  <c r="BB96" i="19"/>
  <c r="P94" i="19"/>
  <c r="V94" i="19"/>
  <c r="AQ94" i="19"/>
  <c r="I94" i="19"/>
  <c r="L94" i="19" s="1"/>
  <c r="M94" i="19"/>
  <c r="AH94" i="19"/>
  <c r="S94" i="19"/>
  <c r="Y94" i="19"/>
  <c r="AT94" i="19"/>
  <c r="BA94" i="19"/>
  <c r="AD93" i="19"/>
  <c r="AZ92" i="19"/>
  <c r="BB92" i="19"/>
  <c r="AA92" i="19"/>
  <c r="X86" i="19"/>
  <c r="AY84" i="19"/>
  <c r="K69" i="19"/>
  <c r="U69" i="19"/>
  <c r="AP69" i="19"/>
  <c r="AV69" i="19"/>
  <c r="L69" i="19"/>
  <c r="AG69" i="19"/>
  <c r="R69" i="19"/>
  <c r="X69" i="19"/>
  <c r="AS69" i="19"/>
  <c r="AD69" i="19"/>
  <c r="AJ69" i="19"/>
  <c r="I59" i="19"/>
  <c r="L59" i="19"/>
  <c r="AE59" i="19"/>
  <c r="BA59" i="19"/>
  <c r="S59" i="19"/>
  <c r="V59" i="19"/>
  <c r="AQ59" i="19"/>
  <c r="BA122" i="19"/>
  <c r="AT122" i="19"/>
  <c r="AH122" i="19"/>
  <c r="V122" i="19"/>
  <c r="AW121" i="19"/>
  <c r="AK121" i="19"/>
  <c r="Y121" i="19"/>
  <c r="M121" i="19"/>
  <c r="AW120" i="19"/>
  <c r="AK120" i="19"/>
  <c r="Y120" i="19"/>
  <c r="M120" i="19"/>
  <c r="AW119" i="19"/>
  <c r="AK119" i="19"/>
  <c r="Y119" i="19"/>
  <c r="M119" i="19"/>
  <c r="AH116" i="19"/>
  <c r="Y116" i="19"/>
  <c r="P116" i="19"/>
  <c r="BA114" i="19"/>
  <c r="AZ114" i="19" s="1"/>
  <c r="AH114" i="19"/>
  <c r="Y114" i="19"/>
  <c r="P114" i="19"/>
  <c r="BA112" i="19"/>
  <c r="K112" i="19"/>
  <c r="BA111" i="19"/>
  <c r="AT111" i="19"/>
  <c r="AH111" i="19"/>
  <c r="V111" i="19"/>
  <c r="AT107" i="19"/>
  <c r="AE107" i="19"/>
  <c r="V107" i="19"/>
  <c r="BA106" i="19"/>
  <c r="AN106" i="19"/>
  <c r="AB106" i="19"/>
  <c r="S106" i="19"/>
  <c r="AK104" i="19"/>
  <c r="Y104" i="19"/>
  <c r="P104" i="19"/>
  <c r="AP103" i="19"/>
  <c r="AQ102" i="19"/>
  <c r="AE102" i="19"/>
  <c r="S102" i="19"/>
  <c r="I102" i="19"/>
  <c r="L102" i="19" s="1"/>
  <c r="I100" i="19"/>
  <c r="L100" i="19" s="1"/>
  <c r="S100" i="19"/>
  <c r="AE100" i="19"/>
  <c r="AQ100" i="19"/>
  <c r="O93" i="19"/>
  <c r="K88" i="19"/>
  <c r="AG88" i="19"/>
  <c r="AV88" i="19"/>
  <c r="AV87" i="19"/>
  <c r="AD87" i="19"/>
  <c r="AS86" i="19"/>
  <c r="K86" i="19"/>
  <c r="AD85" i="19"/>
  <c r="AV84" i="19"/>
  <c r="R62" i="19"/>
  <c r="AG62" i="19"/>
  <c r="AM62" i="19"/>
  <c r="X62" i="19"/>
  <c r="AS62" i="19"/>
  <c r="O62" i="19"/>
  <c r="AJ62" i="19"/>
  <c r="U62" i="19"/>
  <c r="AA62" i="19"/>
  <c r="AV62" i="19"/>
  <c r="X60" i="19"/>
  <c r="AS60" i="19"/>
  <c r="O60" i="19"/>
  <c r="AA60" i="19"/>
  <c r="AM60" i="19"/>
  <c r="U60" i="19"/>
  <c r="AG60" i="19"/>
  <c r="AY60" i="19"/>
  <c r="R60" i="19"/>
  <c r="AJ60" i="19"/>
  <c r="AV60" i="19"/>
  <c r="K60" i="19"/>
  <c r="AM32" i="47"/>
  <c r="AS27" i="47"/>
  <c r="AK27" i="47"/>
  <c r="AD27" i="47"/>
  <c r="M27" i="47"/>
  <c r="BA25" i="47"/>
  <c r="AH25" i="47"/>
  <c r="AB25" i="47"/>
  <c r="BA24" i="47"/>
  <c r="AN24" i="47"/>
  <c r="Y24" i="47"/>
  <c r="AV23" i="47"/>
  <c r="AG23" i="47"/>
  <c r="AJ20" i="47"/>
  <c r="AG19" i="47"/>
  <c r="AG16" i="47"/>
  <c r="AE14" i="47"/>
  <c r="BA13" i="47"/>
  <c r="AV13" i="47"/>
  <c r="AK13" i="47"/>
  <c r="AB13" i="47"/>
  <c r="AK123" i="19"/>
  <c r="Y123" i="19"/>
  <c r="AQ122" i="19"/>
  <c r="AE122" i="19"/>
  <c r="S122" i="19"/>
  <c r="AT121" i="19"/>
  <c r="AH121" i="19"/>
  <c r="V121" i="19"/>
  <c r="AT120" i="19"/>
  <c r="AH120" i="19"/>
  <c r="V120" i="19"/>
  <c r="AT119" i="19"/>
  <c r="AH119" i="19"/>
  <c r="V119" i="19"/>
  <c r="AQ116" i="19"/>
  <c r="V116" i="19"/>
  <c r="M116" i="19"/>
  <c r="AN115" i="19"/>
  <c r="AB115" i="19"/>
  <c r="AQ114" i="19"/>
  <c r="V114" i="19"/>
  <c r="M114" i="19"/>
  <c r="BA113" i="19"/>
  <c r="AQ113" i="19"/>
  <c r="AB113" i="19"/>
  <c r="AS112" i="19"/>
  <c r="AG112" i="19"/>
  <c r="U112" i="19"/>
  <c r="AQ111" i="19"/>
  <c r="AE111" i="19"/>
  <c r="S111" i="19"/>
  <c r="AN110" i="19"/>
  <c r="AB110" i="19"/>
  <c r="AS107" i="19"/>
  <c r="AK107" i="19"/>
  <c r="AB107" i="19"/>
  <c r="M107" i="19"/>
  <c r="AK106" i="19"/>
  <c r="Y106" i="19"/>
  <c r="P106" i="19"/>
  <c r="AN102" i="19"/>
  <c r="Y102" i="19"/>
  <c r="M102" i="19"/>
  <c r="AY100" i="19"/>
  <c r="AS100" i="19"/>
  <c r="AS92" i="19"/>
  <c r="R92" i="19"/>
  <c r="I91" i="19"/>
  <c r="L91" i="19" s="1"/>
  <c r="S91" i="19"/>
  <c r="AK91" i="19"/>
  <c r="AQ91" i="19"/>
  <c r="K90" i="19"/>
  <c r="AD90" i="19"/>
  <c r="O90" i="19"/>
  <c r="AJ90" i="19"/>
  <c r="BB89" i="19"/>
  <c r="R87" i="19"/>
  <c r="AG86" i="19"/>
  <c r="I85" i="19"/>
  <c r="L85" i="19" s="1"/>
  <c r="AQ85" i="19"/>
  <c r="AA84" i="19"/>
  <c r="M76" i="19"/>
  <c r="AK76" i="19"/>
  <c r="AG74" i="19"/>
  <c r="AY74" i="19"/>
  <c r="AS95" i="19"/>
  <c r="AD95" i="19"/>
  <c r="O95" i="19"/>
  <c r="AQ92" i="19"/>
  <c r="I92" i="19"/>
  <c r="L92" i="19" s="1"/>
  <c r="O89" i="19"/>
  <c r="AW84" i="19"/>
  <c r="AG83" i="19"/>
  <c r="X83" i="19"/>
  <c r="AV75" i="19"/>
  <c r="AM75" i="19"/>
  <c r="AA75" i="19"/>
  <c r="R75" i="19"/>
  <c r="BA73" i="19"/>
  <c r="AN72" i="19"/>
  <c r="BA67" i="19"/>
  <c r="AM66" i="19"/>
  <c r="K66" i="19"/>
  <c r="AY64" i="19"/>
  <c r="AJ64" i="19"/>
  <c r="O64" i="19"/>
  <c r="AW60" i="19"/>
  <c r="AK60" i="19"/>
  <c r="Y60" i="19"/>
  <c r="AW58" i="19"/>
  <c r="AK58" i="19"/>
  <c r="O58" i="19"/>
  <c r="AJ58" i="19"/>
  <c r="AE57" i="19"/>
  <c r="AW56" i="19"/>
  <c r="K56" i="19"/>
  <c r="AH55" i="19"/>
  <c r="K55" i="19"/>
  <c r="AA55" i="19"/>
  <c r="AM55" i="19"/>
  <c r="AP95" i="19"/>
  <c r="AA95" i="19"/>
  <c r="AS94" i="19"/>
  <c r="AE92" i="19"/>
  <c r="AG89" i="19"/>
  <c r="AP83" i="19"/>
  <c r="U83" i="19"/>
  <c r="AP78" i="19"/>
  <c r="AD78" i="19"/>
  <c r="AV77" i="19"/>
  <c r="AM77" i="19"/>
  <c r="AD77" i="19"/>
  <c r="AS75" i="19"/>
  <c r="AJ75" i="19"/>
  <c r="X75" i="19"/>
  <c r="O75" i="19"/>
  <c r="V73" i="19"/>
  <c r="AM72" i="19"/>
  <c r="P72" i="19"/>
  <c r="AN70" i="19"/>
  <c r="AA70" i="19"/>
  <c r="M70" i="19"/>
  <c r="AT66" i="19"/>
  <c r="AK66" i="19"/>
  <c r="AA66" i="19"/>
  <c r="P66" i="19"/>
  <c r="AQ65" i="19"/>
  <c r="AE65" i="19"/>
  <c r="S65" i="19"/>
  <c r="I65" i="19"/>
  <c r="L65" i="19"/>
  <c r="AS64" i="19"/>
  <c r="X64" i="19"/>
  <c r="AT62" i="19"/>
  <c r="Y62" i="19"/>
  <c r="AS61" i="19"/>
  <c r="V60" i="19"/>
  <c r="AV58" i="19"/>
  <c r="AH58" i="19"/>
  <c r="V58" i="19"/>
  <c r="R58" i="19"/>
  <c r="BA57" i="19"/>
  <c r="S57" i="19"/>
  <c r="AE56" i="19"/>
  <c r="S56" i="19"/>
  <c r="AT55" i="19"/>
  <c r="AE55" i="19"/>
  <c r="M55" i="19"/>
  <c r="AY54" i="19"/>
  <c r="K50" i="19"/>
  <c r="AY50" i="19"/>
  <c r="BA75" i="19"/>
  <c r="AG75" i="19"/>
  <c r="U75" i="19"/>
  <c r="BA74" i="19"/>
  <c r="BB74" i="19" s="1"/>
  <c r="AT73" i="19"/>
  <c r="AH73" i="19"/>
  <c r="S73" i="19"/>
  <c r="AW72" i="19"/>
  <c r="AM70" i="19"/>
  <c r="AQ67" i="19"/>
  <c r="AE67" i="19"/>
  <c r="S67" i="19"/>
  <c r="AN65" i="19"/>
  <c r="AB65" i="19"/>
  <c r="P65" i="19"/>
  <c r="AM64" i="19"/>
  <c r="AG64" i="19"/>
  <c r="AQ63" i="19"/>
  <c r="AG58" i="19"/>
  <c r="U58" i="19"/>
  <c r="P56" i="19"/>
  <c r="Y56" i="19"/>
  <c r="AK56" i="19"/>
  <c r="AT56" i="19"/>
  <c r="AQ55" i="19"/>
  <c r="P60" i="19"/>
  <c r="M60" i="19"/>
  <c r="AH60" i="19"/>
  <c r="Y58" i="19"/>
  <c r="AT58" i="19"/>
  <c r="AV47" i="19"/>
  <c r="AA47" i="19"/>
  <c r="U47" i="19"/>
  <c r="AV45" i="19"/>
  <c r="I43" i="19"/>
  <c r="P43" i="19"/>
  <c r="AB43" i="19"/>
  <c r="AN43" i="19"/>
  <c r="V43" i="19"/>
  <c r="AH43" i="19"/>
  <c r="AT43" i="19"/>
  <c r="I42" i="19"/>
  <c r="S42" i="19"/>
  <c r="Y42" i="19"/>
  <c r="AE42" i="19"/>
  <c r="AK42" i="19"/>
  <c r="AQ42" i="19"/>
  <c r="V42" i="19"/>
  <c r="AB42" i="19"/>
  <c r="AH42" i="19"/>
  <c r="AN42" i="19"/>
  <c r="AT42" i="19"/>
  <c r="AY40" i="19"/>
  <c r="AW40" i="19"/>
  <c r="AJ40" i="19"/>
  <c r="U40" i="19"/>
  <c r="I40" i="19"/>
  <c r="L40" i="19" s="1"/>
  <c r="M40" i="19"/>
  <c r="V40" i="19"/>
  <c r="AE40" i="19"/>
  <c r="AK40" i="19"/>
  <c r="AT40" i="19"/>
  <c r="S40" i="19"/>
  <c r="Y40" i="19"/>
  <c r="AH40" i="19"/>
  <c r="AQ40" i="19"/>
  <c r="P39" i="19"/>
  <c r="V39" i="19"/>
  <c r="AH39" i="19"/>
  <c r="AT39" i="19"/>
  <c r="M39" i="19"/>
  <c r="AB39" i="19"/>
  <c r="AN39" i="19"/>
  <c r="BA39" i="19"/>
  <c r="U38" i="19"/>
  <c r="S38" i="19"/>
  <c r="AQ38" i="19"/>
  <c r="I38" i="19"/>
  <c r="L38" i="19" s="1"/>
  <c r="M38" i="19"/>
  <c r="V38" i="19"/>
  <c r="AE38" i="19"/>
  <c r="AT38" i="19"/>
  <c r="AP52" i="19"/>
  <c r="AD52" i="19"/>
  <c r="R52" i="19"/>
  <c r="AK50" i="19"/>
  <c r="Y50" i="19"/>
  <c r="AK48" i="19"/>
  <c r="Y48" i="19"/>
  <c r="M48" i="19"/>
  <c r="AM47" i="19"/>
  <c r="AG47" i="19"/>
  <c r="K47" i="19"/>
  <c r="BA45" i="19"/>
  <c r="AJ45" i="19"/>
  <c r="X45" i="19"/>
  <c r="S45" i="19"/>
  <c r="Y45" i="19"/>
  <c r="AH45" i="19"/>
  <c r="AQ45" i="19"/>
  <c r="AS43" i="19"/>
  <c r="U43" i="19"/>
  <c r="AV40" i="19"/>
  <c r="AG40" i="19"/>
  <c r="Y39" i="19"/>
  <c r="AV38" i="19"/>
  <c r="AH38" i="19"/>
  <c r="P38" i="19"/>
  <c r="K35" i="19"/>
  <c r="K34" i="19"/>
  <c r="AV52" i="19"/>
  <c r="AM52" i="19"/>
  <c r="AA52" i="19"/>
  <c r="AB51" i="19"/>
  <c r="AH50" i="19"/>
  <c r="AN49" i="19"/>
  <c r="AB49" i="19"/>
  <c r="AT48" i="19"/>
  <c r="AH48" i="19"/>
  <c r="AS47" i="19"/>
  <c r="X47" i="19"/>
  <c r="S46" i="19"/>
  <c r="AY45" i="19"/>
  <c r="AS45" i="19"/>
  <c r="AG45" i="19"/>
  <c r="V45" i="19"/>
  <c r="L45" i="19"/>
  <c r="AK43" i="19"/>
  <c r="M43" i="19"/>
  <c r="BA42" i="19"/>
  <c r="P42" i="19"/>
  <c r="V41" i="19"/>
  <c r="P41" i="19"/>
  <c r="AE41" i="19"/>
  <c r="AN41" i="19"/>
  <c r="AS40" i="19"/>
  <c r="AB40" i="19"/>
  <c r="AQ39" i="19"/>
  <c r="S39" i="19"/>
  <c r="BA38" i="19"/>
  <c r="AS38" i="19"/>
  <c r="AB38" i="19"/>
  <c r="I37" i="19"/>
  <c r="L37" i="19"/>
  <c r="M37" i="19"/>
  <c r="S37" i="19"/>
  <c r="P37" i="19"/>
  <c r="X35" i="19"/>
  <c r="AA24" i="19"/>
  <c r="U24" i="19"/>
  <c r="R24" i="19"/>
  <c r="AV24" i="19"/>
  <c r="K24" i="19"/>
  <c r="AD24" i="19"/>
  <c r="AP24" i="19"/>
  <c r="O24" i="19"/>
  <c r="X24" i="19"/>
  <c r="AG24" i="19"/>
  <c r="AS24" i="19"/>
  <c r="L43" i="19"/>
  <c r="K38" i="19"/>
  <c r="AA38" i="19"/>
  <c r="AJ38" i="19"/>
  <c r="AM38" i="19"/>
  <c r="AY38" i="19"/>
  <c r="AM23" i="19"/>
  <c r="X23" i="19"/>
  <c r="AS33" i="19"/>
  <c r="AJ33" i="19"/>
  <c r="AA33" i="19"/>
  <c r="U33" i="19"/>
  <c r="K33" i="19"/>
  <c r="BA29" i="19"/>
  <c r="I27" i="19"/>
  <c r="L27" i="19" s="1"/>
  <c r="K21" i="19"/>
  <c r="AG21" i="19"/>
  <c r="I18" i="28"/>
  <c r="L18" i="28" s="1"/>
  <c r="V18" i="28"/>
  <c r="AH18" i="28"/>
  <c r="AT18" i="28"/>
  <c r="M18" i="28"/>
  <c r="Y18" i="28"/>
  <c r="AK18" i="28"/>
  <c r="P18" i="28"/>
  <c r="AB18" i="28"/>
  <c r="AN18" i="28"/>
  <c r="S16" i="29"/>
  <c r="S26" i="29"/>
  <c r="T26" i="29" s="1"/>
  <c r="AW33" i="19"/>
  <c r="AN33" i="19"/>
  <c r="AH33" i="19"/>
  <c r="Y33" i="19"/>
  <c r="P33" i="19"/>
  <c r="O32" i="19"/>
  <c r="AK31" i="19"/>
  <c r="AE31" i="19"/>
  <c r="P31" i="19"/>
  <c r="S30" i="19"/>
  <c r="AY29" i="19"/>
  <c r="AT29" i="19"/>
  <c r="AK29" i="19"/>
  <c r="AE29" i="19"/>
  <c r="V29" i="19"/>
  <c r="M29" i="19"/>
  <c r="AT27" i="19"/>
  <c r="AH27" i="19"/>
  <c r="V27" i="19"/>
  <c r="M27" i="19"/>
  <c r="AH26" i="19"/>
  <c r="P26" i="19"/>
  <c r="V24" i="19"/>
  <c r="V13" i="19"/>
  <c r="AH13" i="19"/>
  <c r="AT13" i="19"/>
  <c r="J20" i="19"/>
  <c r="J16" i="19"/>
  <c r="AV16" i="19" s="1"/>
  <c r="AQ18" i="28"/>
  <c r="J14" i="28"/>
  <c r="J17" i="28"/>
  <c r="J21" i="28"/>
  <c r="X21" i="28" s="1"/>
  <c r="I29" i="19"/>
  <c r="L29" i="19"/>
  <c r="BA27" i="19"/>
  <c r="AG15" i="28"/>
  <c r="K15" i="28"/>
  <c r="AJ15" i="28"/>
  <c r="R15" i="28"/>
  <c r="AP15" i="28"/>
  <c r="K13" i="28"/>
  <c r="AA13" i="28"/>
  <c r="AG13" i="28"/>
  <c r="E16" i="29"/>
  <c r="E26" i="29" s="1"/>
  <c r="E27" i="29" s="1"/>
  <c r="M16" i="29"/>
  <c r="M26" i="29"/>
  <c r="U16" i="29"/>
  <c r="U26" i="29" s="1"/>
  <c r="V26" i="29" s="1"/>
  <c r="G16" i="29"/>
  <c r="G26" i="29"/>
  <c r="O16" i="29"/>
  <c r="O26" i="29" s="1"/>
  <c r="P26" i="29" s="1"/>
  <c r="W16" i="29"/>
  <c r="W26" i="29"/>
  <c r="C26" i="29"/>
  <c r="I16" i="29"/>
  <c r="I26" i="29"/>
  <c r="Q16" i="29"/>
  <c r="Q26" i="29" s="1"/>
  <c r="R26" i="29" s="1"/>
  <c r="Y16" i="29"/>
  <c r="Y26" i="29"/>
  <c r="AS37" i="19"/>
  <c r="AM37" i="19"/>
  <c r="AT35" i="19"/>
  <c r="AH35" i="19"/>
  <c r="AT33" i="19"/>
  <c r="AK33" i="19"/>
  <c r="AB33" i="19"/>
  <c r="V33" i="19"/>
  <c r="M33" i="19"/>
  <c r="AN31" i="19"/>
  <c r="AH31" i="19"/>
  <c r="M31" i="19"/>
  <c r="AQ29" i="19"/>
  <c r="AH29" i="19"/>
  <c r="Y29" i="19"/>
  <c r="S29" i="19"/>
  <c r="AQ27" i="19"/>
  <c r="AE27" i="19"/>
  <c r="AN26" i="19"/>
  <c r="Y26" i="19"/>
  <c r="AT24" i="19"/>
  <c r="AH24" i="19"/>
  <c r="BA21" i="19"/>
  <c r="AW21" i="19"/>
  <c r="Y20" i="19"/>
  <c r="M20" i="19"/>
  <c r="J14" i="19"/>
  <c r="BA18" i="28"/>
  <c r="S18" i="28"/>
  <c r="AV15" i="28"/>
  <c r="I19" i="29"/>
  <c r="O19" i="29"/>
  <c r="W19" i="29"/>
  <c r="G19" i="29"/>
  <c r="Q19" i="29"/>
  <c r="AA19" i="29"/>
  <c r="K19" i="29"/>
  <c r="S19" i="29"/>
  <c r="AA16" i="29"/>
  <c r="AA26" i="29" s="1"/>
  <c r="AB26" i="29" s="1"/>
  <c r="BA17" i="19"/>
  <c r="BA16" i="28"/>
  <c r="O23" i="29"/>
  <c r="G22" i="29"/>
  <c r="Y20" i="28"/>
  <c r="AZ27" i="19"/>
  <c r="BB27" i="19"/>
  <c r="AM21" i="28"/>
  <c r="AA21" i="28"/>
  <c r="R21" i="28"/>
  <c r="AD21" i="28"/>
  <c r="K21" i="28"/>
  <c r="AP21" i="28"/>
  <c r="AJ21" i="28"/>
  <c r="L21" i="28"/>
  <c r="AY21" i="28"/>
  <c r="AG21" i="28"/>
  <c r="BB21" i="28"/>
  <c r="O21" i="28"/>
  <c r="AV21" i="28"/>
  <c r="U21" i="28"/>
  <c r="AS16" i="19"/>
  <c r="AA16" i="19"/>
  <c r="AJ16" i="19"/>
  <c r="L16" i="19"/>
  <c r="AG16" i="19"/>
  <c r="O16" i="19"/>
  <c r="AP16" i="19"/>
  <c r="BB16" i="19"/>
  <c r="K16" i="19"/>
  <c r="AM16" i="19"/>
  <c r="AY16" i="19"/>
  <c r="U16" i="19"/>
  <c r="X16" i="19"/>
  <c r="AD16" i="19"/>
  <c r="AZ29" i="19"/>
  <c r="BB29" i="19"/>
  <c r="AZ38" i="19"/>
  <c r="BB38" i="19"/>
  <c r="AZ73" i="19"/>
  <c r="BB73" i="19"/>
  <c r="AZ25" i="47"/>
  <c r="AZ117" i="19"/>
  <c r="BB117" i="19"/>
  <c r="AE15" i="47"/>
  <c r="AQ15" i="47"/>
  <c r="I15" i="47"/>
  <c r="L15" i="47"/>
  <c r="S15" i="47"/>
  <c r="AK15" i="47"/>
  <c r="BA15" i="47"/>
  <c r="Y15" i="47"/>
  <c r="AN15" i="47"/>
  <c r="AH15" i="47"/>
  <c r="AT15" i="47"/>
  <c r="P15" i="47"/>
  <c r="V15" i="47"/>
  <c r="AB15" i="47"/>
  <c r="M15" i="47"/>
  <c r="P29" i="44"/>
  <c r="I29" i="44"/>
  <c r="L29" i="44" s="1"/>
  <c r="V29" i="44"/>
  <c r="AB29" i="44"/>
  <c r="AE29" i="44"/>
  <c r="AK29" i="44"/>
  <c r="AN29" i="44"/>
  <c r="AQ29" i="44"/>
  <c r="AH29" i="44"/>
  <c r="AW29" i="44"/>
  <c r="M29" i="44"/>
  <c r="BA29" i="44"/>
  <c r="AT29" i="44"/>
  <c r="Y29" i="44"/>
  <c r="S29" i="44"/>
  <c r="AW26" i="44"/>
  <c r="I26" i="44"/>
  <c r="AN26" i="44"/>
  <c r="P26" i="44"/>
  <c r="S26" i="44"/>
  <c r="M26" i="44"/>
  <c r="BA26" i="44"/>
  <c r="AE26" i="44"/>
  <c r="Y26" i="44"/>
  <c r="AB26" i="44"/>
  <c r="AT26" i="44"/>
  <c r="AK26" i="44"/>
  <c r="V26" i="44"/>
  <c r="AQ26" i="44"/>
  <c r="AH26" i="44"/>
  <c r="O33" i="44"/>
  <c r="AP33" i="44"/>
  <c r="X33" i="44"/>
  <c r="AA33" i="44"/>
  <c r="R33" i="44"/>
  <c r="AG33" i="44"/>
  <c r="AJ33" i="44"/>
  <c r="AS33" i="44"/>
  <c r="AM33" i="44"/>
  <c r="AD33" i="44"/>
  <c r="K33" i="44"/>
  <c r="U33" i="44"/>
  <c r="AV33" i="44"/>
  <c r="AY33" i="44"/>
  <c r="AZ67" i="44"/>
  <c r="AS20" i="20"/>
  <c r="K48" i="20"/>
  <c r="H48" i="20"/>
  <c r="AV50" i="20"/>
  <c r="O20" i="20"/>
  <c r="Y36" i="20"/>
  <c r="AK36" i="20"/>
  <c r="AW36" i="20"/>
  <c r="M36" i="20"/>
  <c r="AB36" i="20"/>
  <c r="S36" i="20"/>
  <c r="V36" i="20"/>
  <c r="AN36" i="20"/>
  <c r="AE36" i="20"/>
  <c r="AH36" i="20"/>
  <c r="I36" i="20"/>
  <c r="L36" i="20"/>
  <c r="AQ36" i="20"/>
  <c r="AT36" i="20"/>
  <c r="P36" i="20"/>
  <c r="BA36" i="20"/>
  <c r="BB19" i="20"/>
  <c r="AZ19" i="20"/>
  <c r="AG57" i="20"/>
  <c r="AZ142" i="20"/>
  <c r="BB142" i="20"/>
  <c r="K44" i="20"/>
  <c r="K99" i="20"/>
  <c r="AZ71" i="20"/>
  <c r="BB71" i="20"/>
  <c r="AZ122" i="20"/>
  <c r="BB122" i="20"/>
  <c r="BB107" i="20"/>
  <c r="AZ107" i="20"/>
  <c r="BB135" i="20"/>
  <c r="AZ135" i="20"/>
  <c r="BB136" i="20"/>
  <c r="AZ136" i="20"/>
  <c r="P68" i="20"/>
  <c r="AH68" i="20"/>
  <c r="AB68" i="20"/>
  <c r="Y68" i="20"/>
  <c r="AN68" i="20"/>
  <c r="AQ68" i="20"/>
  <c r="AW68" i="20"/>
  <c r="AE68" i="20"/>
  <c r="S68" i="20"/>
  <c r="BA68" i="20"/>
  <c r="AK68" i="20"/>
  <c r="M68" i="20"/>
  <c r="V68" i="20"/>
  <c r="AT68" i="20"/>
  <c r="I68" i="20"/>
  <c r="L68" i="20" s="1"/>
  <c r="AK127" i="20"/>
  <c r="I127" i="20"/>
  <c r="L127" i="20" s="1"/>
  <c r="M127" i="20"/>
  <c r="AQ127" i="20"/>
  <c r="BA127" i="20"/>
  <c r="P127" i="20"/>
  <c r="AW127" i="20"/>
  <c r="S127" i="20"/>
  <c r="V127" i="20"/>
  <c r="AB127" i="20"/>
  <c r="Y127" i="20"/>
  <c r="AH127" i="20"/>
  <c r="AN127" i="20"/>
  <c r="AT127" i="20"/>
  <c r="AE127" i="20"/>
  <c r="G29" i="22"/>
  <c r="E29" i="22"/>
  <c r="Q29" i="22"/>
  <c r="W29" i="22"/>
  <c r="U29" i="22"/>
  <c r="S29" i="22"/>
  <c r="M29" i="22"/>
  <c r="I29" i="22"/>
  <c r="Y29" i="22"/>
  <c r="O29" i="22"/>
  <c r="K29" i="22"/>
  <c r="AA29" i="22"/>
  <c r="V118" i="20"/>
  <c r="AH118" i="20"/>
  <c r="AT118" i="20"/>
  <c r="AN118" i="20"/>
  <c r="AE118" i="20"/>
  <c r="Y118" i="20"/>
  <c r="I118" i="20"/>
  <c r="L118" i="20"/>
  <c r="AQ118" i="20"/>
  <c r="AK118" i="20"/>
  <c r="P118" i="20"/>
  <c r="BA118" i="20"/>
  <c r="AW118" i="20"/>
  <c r="S118" i="20"/>
  <c r="M118" i="20"/>
  <c r="AB118" i="20"/>
  <c r="D24" i="29"/>
  <c r="R17" i="28"/>
  <c r="AG17" i="28"/>
  <c r="K17" i="28"/>
  <c r="AJ17" i="28"/>
  <c r="L17" i="28"/>
  <c r="AP17" i="28"/>
  <c r="X17" i="28"/>
  <c r="O17" i="28"/>
  <c r="AS17" i="28"/>
  <c r="AA17" i="28"/>
  <c r="U17" i="28"/>
  <c r="AV17" i="28"/>
  <c r="AM17" i="28"/>
  <c r="AD17" i="28"/>
  <c r="AY17" i="28"/>
  <c r="BB17" i="28"/>
  <c r="U20" i="19"/>
  <c r="AM20" i="19"/>
  <c r="R20" i="19"/>
  <c r="AP20" i="19"/>
  <c r="AG20" i="19"/>
  <c r="AS20" i="19"/>
  <c r="O20" i="19"/>
  <c r="K20" i="19"/>
  <c r="AV20" i="19"/>
  <c r="AD20" i="19"/>
  <c r="L20" i="19"/>
  <c r="AY20" i="19"/>
  <c r="X20" i="19"/>
  <c r="AA20" i="19"/>
  <c r="AJ20" i="19"/>
  <c r="BB20" i="19"/>
  <c r="BB57" i="19"/>
  <c r="AZ57" i="19"/>
  <c r="AZ13" i="47"/>
  <c r="BB13" i="47"/>
  <c r="BB111" i="19"/>
  <c r="AZ111" i="19"/>
  <c r="AW15" i="47"/>
  <c r="AA29" i="44"/>
  <c r="AS29" i="44"/>
  <c r="AG29" i="44"/>
  <c r="AV29" i="44"/>
  <c r="O29" i="44"/>
  <c r="AJ29" i="44"/>
  <c r="X29" i="44"/>
  <c r="AP29" i="44"/>
  <c r="AY29" i="44"/>
  <c r="AM29" i="44"/>
  <c r="AD29" i="44"/>
  <c r="U29" i="44"/>
  <c r="K29" i="44"/>
  <c r="R29" i="44"/>
  <c r="AZ33" i="47"/>
  <c r="BB33" i="47"/>
  <c r="U13" i="44"/>
  <c r="AJ13" i="44"/>
  <c r="AD13" i="44"/>
  <c r="BB13" i="44"/>
  <c r="O13" i="44"/>
  <c r="AG13" i="44"/>
  <c r="AV13" i="44"/>
  <c r="X13" i="44"/>
  <c r="X14" i="44" s="1"/>
  <c r="AA13" i="44"/>
  <c r="AS13" i="44"/>
  <c r="L13" i="44"/>
  <c r="AP13" i="44"/>
  <c r="AY13" i="44"/>
  <c r="K13" i="44"/>
  <c r="R13" i="44"/>
  <c r="AM13" i="44"/>
  <c r="O36" i="44"/>
  <c r="AM36" i="44"/>
  <c r="U36" i="44"/>
  <c r="AS36" i="44"/>
  <c r="AA36" i="44"/>
  <c r="R36" i="44"/>
  <c r="AG36" i="44"/>
  <c r="X36" i="44"/>
  <c r="AD36" i="44"/>
  <c r="AY36" i="44"/>
  <c r="AV36" i="44"/>
  <c r="K36" i="44"/>
  <c r="AJ36" i="44"/>
  <c r="AP36" i="44"/>
  <c r="S30" i="44"/>
  <c r="AH30" i="44"/>
  <c r="AQ30" i="44"/>
  <c r="M30" i="44"/>
  <c r="I30" i="44"/>
  <c r="V30" i="44"/>
  <c r="AE30" i="44"/>
  <c r="AT30" i="44"/>
  <c r="P30" i="44"/>
  <c r="AW30" i="44"/>
  <c r="AK30" i="44"/>
  <c r="AN30" i="44"/>
  <c r="Y30" i="44"/>
  <c r="AB30" i="44"/>
  <c r="BA30" i="44"/>
  <c r="AZ63" i="44"/>
  <c r="AJ20" i="20"/>
  <c r="K41" i="20"/>
  <c r="H41" i="20"/>
  <c r="AA20" i="20"/>
  <c r="AZ81" i="20"/>
  <c r="BB81" i="20"/>
  <c r="BB75" i="20"/>
  <c r="AZ75" i="20"/>
  <c r="AZ92" i="20"/>
  <c r="BB92" i="20"/>
  <c r="K128" i="20"/>
  <c r="C30" i="22"/>
  <c r="AZ137" i="20"/>
  <c r="BB137" i="20"/>
  <c r="AN96" i="20"/>
  <c r="AE96" i="20"/>
  <c r="S96" i="20"/>
  <c r="I96" i="20"/>
  <c r="L96" i="20" s="1"/>
  <c r="V96" i="20"/>
  <c r="AW96" i="20"/>
  <c r="AK96" i="20"/>
  <c r="P96" i="20"/>
  <c r="AH96" i="20"/>
  <c r="M96" i="20"/>
  <c r="AQ96" i="20"/>
  <c r="AT96" i="20"/>
  <c r="BA96" i="20"/>
  <c r="Y96" i="20"/>
  <c r="AB96" i="20"/>
  <c r="M65" i="44"/>
  <c r="AB65" i="44"/>
  <c r="AE65" i="44"/>
  <c r="V65" i="44"/>
  <c r="Y65" i="44"/>
  <c r="AN65" i="44"/>
  <c r="BA65" i="44"/>
  <c r="AH65" i="44"/>
  <c r="AK65" i="44"/>
  <c r="S65" i="44"/>
  <c r="I65" i="44"/>
  <c r="AW65" i="44"/>
  <c r="AT65" i="44"/>
  <c r="P65" i="44"/>
  <c r="AQ65" i="44"/>
  <c r="P24" i="20"/>
  <c r="BA24" i="20"/>
  <c r="M24" i="20"/>
  <c r="AB24" i="20"/>
  <c r="S24" i="20"/>
  <c r="AT24" i="20"/>
  <c r="Y24" i="20"/>
  <c r="AN24" i="20"/>
  <c r="AE24" i="20"/>
  <c r="V24" i="20"/>
  <c r="AH24" i="20"/>
  <c r="AK24" i="20"/>
  <c r="I24" i="20"/>
  <c r="L24" i="20" s="1"/>
  <c r="AQ24" i="20"/>
  <c r="AW24" i="20"/>
  <c r="AK53" i="20"/>
  <c r="AE53" i="20"/>
  <c r="V53" i="20"/>
  <c r="P53" i="20"/>
  <c r="I53" i="20"/>
  <c r="L53" i="20"/>
  <c r="AQ53" i="20"/>
  <c r="AB53" i="20"/>
  <c r="AW53" i="20"/>
  <c r="M53" i="20"/>
  <c r="BA53" i="20"/>
  <c r="AT53" i="20"/>
  <c r="Y53" i="20"/>
  <c r="S53" i="20"/>
  <c r="AN53" i="20"/>
  <c r="AH53" i="20"/>
  <c r="AZ32" i="20"/>
  <c r="BB32" i="20"/>
  <c r="V54" i="20"/>
  <c r="AB54" i="20"/>
  <c r="P54" i="20"/>
  <c r="AT54" i="20"/>
  <c r="S54" i="20"/>
  <c r="M54" i="20"/>
  <c r="AN54" i="20"/>
  <c r="AW54" i="20"/>
  <c r="AE54" i="20"/>
  <c r="Y54" i="20"/>
  <c r="AH54" i="20"/>
  <c r="I54" i="20"/>
  <c r="L54" i="20"/>
  <c r="AQ54" i="20"/>
  <c r="AK54" i="20"/>
  <c r="BA54" i="20"/>
  <c r="AZ17" i="19"/>
  <c r="BB17" i="19"/>
  <c r="AZ21" i="19"/>
  <c r="BB21" i="19"/>
  <c r="Z26" i="29"/>
  <c r="AS14" i="28"/>
  <c r="U14" i="28"/>
  <c r="AA14" i="28"/>
  <c r="AG14" i="28"/>
  <c r="O14" i="28"/>
  <c r="AJ14" i="28"/>
  <c r="AV14" i="28"/>
  <c r="AP14" i="28"/>
  <c r="AD14" i="28"/>
  <c r="X14" i="28"/>
  <c r="AY14" i="28"/>
  <c r="R14" i="28"/>
  <c r="AM14" i="28"/>
  <c r="K14" i="28"/>
  <c r="AZ45" i="19"/>
  <c r="BB45" i="19"/>
  <c r="BB39" i="19"/>
  <c r="AZ39" i="19"/>
  <c r="BB75" i="19"/>
  <c r="AZ75" i="19"/>
  <c r="BB67" i="19"/>
  <c r="AZ67" i="19"/>
  <c r="AZ24" i="47"/>
  <c r="BB24" i="47"/>
  <c r="AZ106" i="19"/>
  <c r="BB106" i="19"/>
  <c r="AZ122" i="19"/>
  <c r="BB122" i="19"/>
  <c r="AZ59" i="19"/>
  <c r="BB59" i="19"/>
  <c r="BB94" i="19"/>
  <c r="AZ94" i="19"/>
  <c r="AZ104" i="19"/>
  <c r="BB104" i="19"/>
  <c r="AZ123" i="19"/>
  <c r="BB123" i="19"/>
  <c r="U26" i="44"/>
  <c r="AM26" i="44"/>
  <c r="AA26" i="44"/>
  <c r="AP26" i="44"/>
  <c r="O26" i="44"/>
  <c r="AD26" i="44"/>
  <c r="AS26" i="44"/>
  <c r="R26" i="44"/>
  <c r="AG26" i="44"/>
  <c r="AV26" i="44"/>
  <c r="X26" i="44"/>
  <c r="L26" i="44"/>
  <c r="K26" i="44"/>
  <c r="AJ26" i="44"/>
  <c r="L30" i="44"/>
  <c r="R30" i="44"/>
  <c r="X30" i="44"/>
  <c r="AG30" i="44"/>
  <c r="AP30" i="44"/>
  <c r="AV30" i="44"/>
  <c r="AA30" i="44"/>
  <c r="K30" i="44"/>
  <c r="U30" i="44"/>
  <c r="AD30" i="44"/>
  <c r="AJ30" i="44"/>
  <c r="AS30" i="44"/>
  <c r="O30" i="44"/>
  <c r="AM30" i="44"/>
  <c r="AY30" i="44"/>
  <c r="BB125" i="19"/>
  <c r="AZ125" i="19"/>
  <c r="AA20" i="43"/>
  <c r="AZ16" i="47"/>
  <c r="BB16" i="47"/>
  <c r="E83" i="42"/>
  <c r="F62" i="42"/>
  <c r="G58" i="44"/>
  <c r="E63" i="42"/>
  <c r="F63" i="42" s="1"/>
  <c r="G59" i="44" s="1"/>
  <c r="H59" i="44" s="1"/>
  <c r="AY26" i="44"/>
  <c r="AZ50" i="44"/>
  <c r="AN44" i="20"/>
  <c r="P44" i="20"/>
  <c r="I44" i="20"/>
  <c r="L44" i="20"/>
  <c r="AQ44" i="20"/>
  <c r="AK44" i="20"/>
  <c r="V44" i="20"/>
  <c r="AW44" i="20"/>
  <c r="BA44" i="20"/>
  <c r="AB44" i="20"/>
  <c r="S44" i="20"/>
  <c r="M44" i="20"/>
  <c r="AT44" i="20"/>
  <c r="AH44" i="20"/>
  <c r="AE44" i="20"/>
  <c r="Y44" i="20"/>
  <c r="AE52" i="20"/>
  <c r="Y52" i="20"/>
  <c r="AB52" i="20"/>
  <c r="I52" i="20"/>
  <c r="L52" i="20" s="1"/>
  <c r="AQ52" i="20"/>
  <c r="AK52" i="20"/>
  <c r="AT52" i="20"/>
  <c r="BA52" i="20"/>
  <c r="V52" i="20"/>
  <c r="AH52" i="20"/>
  <c r="S52" i="20"/>
  <c r="M52" i="20"/>
  <c r="AN52" i="20"/>
  <c r="AW52" i="20"/>
  <c r="P52" i="20"/>
  <c r="AM20" i="20"/>
  <c r="K52" i="20"/>
  <c r="I27" i="20"/>
  <c r="L27" i="20"/>
  <c r="AH27" i="20"/>
  <c r="AK27" i="20"/>
  <c r="AN27" i="20"/>
  <c r="AE27" i="20"/>
  <c r="AT27" i="20"/>
  <c r="AW27" i="20"/>
  <c r="BA27" i="20"/>
  <c r="M27" i="20"/>
  <c r="P27" i="20"/>
  <c r="S27" i="20"/>
  <c r="V27" i="20"/>
  <c r="Y27" i="20"/>
  <c r="AB27" i="20"/>
  <c r="AQ27" i="20"/>
  <c r="AZ16" i="20"/>
  <c r="BB16" i="20"/>
  <c r="BB82" i="20"/>
  <c r="AZ82" i="20"/>
  <c r="G28" i="22"/>
  <c r="E28" i="22"/>
  <c r="S28" i="22"/>
  <c r="W28" i="22"/>
  <c r="U28" i="22"/>
  <c r="Y28" i="22"/>
  <c r="M28" i="22"/>
  <c r="K28" i="22"/>
  <c r="AA28" i="22"/>
  <c r="O28" i="22"/>
  <c r="Q28" i="22"/>
  <c r="I28" i="22"/>
  <c r="BB133" i="20"/>
  <c r="AZ133" i="20"/>
  <c r="AZ138" i="20"/>
  <c r="BB138" i="20"/>
  <c r="BA126" i="20"/>
  <c r="I126" i="20"/>
  <c r="L126" i="20"/>
  <c r="AE126" i="20"/>
  <c r="AT126" i="20"/>
  <c r="S126" i="20"/>
  <c r="P126" i="20"/>
  <c r="AW126" i="20"/>
  <c r="AK126" i="20"/>
  <c r="V126" i="20"/>
  <c r="AB126" i="20"/>
  <c r="Y126" i="20"/>
  <c r="M126" i="20"/>
  <c r="AH126" i="20"/>
  <c r="AN126" i="20"/>
  <c r="AQ126" i="20"/>
  <c r="M27" i="22"/>
  <c r="S27" i="22"/>
  <c r="I27" i="22"/>
  <c r="O27" i="22"/>
  <c r="Y27" i="22"/>
  <c r="K27" i="22"/>
  <c r="G27" i="22"/>
  <c r="E27" i="22"/>
  <c r="AA27" i="22"/>
  <c r="W27" i="22"/>
  <c r="U27" i="22"/>
  <c r="Q27" i="22"/>
  <c r="AH97" i="20"/>
  <c r="AN97" i="20"/>
  <c r="BA97" i="20"/>
  <c r="AQ97" i="20"/>
  <c r="AT97" i="20"/>
  <c r="AW97" i="20"/>
  <c r="I97" i="20"/>
  <c r="L97" i="20"/>
  <c r="AE97" i="20"/>
  <c r="P97" i="20"/>
  <c r="S97" i="20"/>
  <c r="M97" i="20"/>
  <c r="Y97" i="20"/>
  <c r="V97" i="20"/>
  <c r="AB97" i="20"/>
  <c r="AK97" i="20"/>
  <c r="AZ14" i="20"/>
  <c r="BB14" i="20"/>
  <c r="M28" i="20"/>
  <c r="AW28" i="20"/>
  <c r="Y28" i="20"/>
  <c r="AB28" i="20"/>
  <c r="S28" i="20"/>
  <c r="V28" i="20"/>
  <c r="AK28" i="20"/>
  <c r="AN28" i="20"/>
  <c r="AE28" i="20"/>
  <c r="AH28" i="20"/>
  <c r="I28" i="20"/>
  <c r="L28" i="20" s="1"/>
  <c r="AQ28" i="20"/>
  <c r="AT28" i="20"/>
  <c r="BA28" i="20"/>
  <c r="P28" i="20"/>
  <c r="AZ110" i="20"/>
  <c r="BB110" i="20"/>
  <c r="BB111" i="20"/>
  <c r="BB74" i="20"/>
  <c r="AZ74" i="20"/>
  <c r="AZ18" i="28"/>
  <c r="BB18" i="28"/>
  <c r="F26" i="29"/>
  <c r="AZ42" i="19"/>
  <c r="AZ74" i="19"/>
  <c r="BB113" i="19"/>
  <c r="AZ113" i="19"/>
  <c r="AZ112" i="19"/>
  <c r="BB112" i="19"/>
  <c r="BB114" i="19"/>
  <c r="AZ108" i="19"/>
  <c r="AZ116" i="19"/>
  <c r="BB116" i="19"/>
  <c r="K20" i="47"/>
  <c r="H20" i="47"/>
  <c r="AZ38" i="47"/>
  <c r="BB38" i="47"/>
  <c r="X21" i="44"/>
  <c r="AV21" i="44"/>
  <c r="AG21" i="44"/>
  <c r="O21" i="44"/>
  <c r="AJ21" i="44"/>
  <c r="U21" i="44"/>
  <c r="AS21" i="44"/>
  <c r="AP21" i="44"/>
  <c r="AM21" i="44"/>
  <c r="AD21" i="44"/>
  <c r="AA21" i="44"/>
  <c r="K21" i="44"/>
  <c r="R21" i="44"/>
  <c r="L21" i="44"/>
  <c r="BB21" i="44"/>
  <c r="AP27" i="44"/>
  <c r="AV27" i="44"/>
  <c r="X27" i="44"/>
  <c r="AA27" i="44"/>
  <c r="U27" i="44"/>
  <c r="AM27" i="44"/>
  <c r="R27" i="44"/>
  <c r="O27" i="44"/>
  <c r="AJ27" i="44"/>
  <c r="AS27" i="44"/>
  <c r="K27" i="44"/>
  <c r="L27" i="44"/>
  <c r="BB27" i="44"/>
  <c r="AD27" i="44"/>
  <c r="AG27" i="44"/>
  <c r="U34" i="44"/>
  <c r="AS34" i="44"/>
  <c r="AA34" i="44"/>
  <c r="AV34" i="44"/>
  <c r="R34" i="44"/>
  <c r="AG34" i="44"/>
  <c r="O34" i="44"/>
  <c r="AM34" i="44"/>
  <c r="AY34" i="44"/>
  <c r="AJ34" i="44"/>
  <c r="AP34" i="44"/>
  <c r="X34" i="44"/>
  <c r="AD34" i="44"/>
  <c r="AY21" i="44"/>
  <c r="AG20" i="20"/>
  <c r="K46" i="20"/>
  <c r="H46" i="20"/>
  <c r="AZ55" i="44"/>
  <c r="BB55" i="44"/>
  <c r="K20" i="20"/>
  <c r="C16" i="22" s="1"/>
  <c r="AA50" i="20"/>
  <c r="AZ93" i="20"/>
  <c r="BB93" i="20"/>
  <c r="BB134" i="20"/>
  <c r="AZ134" i="20"/>
  <c r="AD139" i="20"/>
  <c r="BB78" i="20"/>
  <c r="AZ78" i="20"/>
  <c r="BB103" i="20"/>
  <c r="AZ103" i="20"/>
  <c r="AB114" i="20"/>
  <c r="AT114" i="20"/>
  <c r="AK114" i="20"/>
  <c r="Y114" i="20"/>
  <c r="AN114" i="20"/>
  <c r="M114" i="20"/>
  <c r="AQ114" i="20"/>
  <c r="AE114" i="20"/>
  <c r="V114" i="20"/>
  <c r="BA114" i="20"/>
  <c r="AZ114" i="20" s="1"/>
  <c r="I114" i="20"/>
  <c r="L114" i="20" s="1"/>
  <c r="AW114" i="20"/>
  <c r="P114" i="20"/>
  <c r="AH114" i="20"/>
  <c r="S114" i="20"/>
  <c r="AN106" i="20"/>
  <c r="BA106" i="20"/>
  <c r="I106" i="20"/>
  <c r="L106" i="20" s="1"/>
  <c r="L108" i="20" s="1"/>
  <c r="M106" i="20"/>
  <c r="V106" i="20"/>
  <c r="S106" i="20"/>
  <c r="AW106" i="20"/>
  <c r="P106" i="20"/>
  <c r="AH106" i="20"/>
  <c r="AK106" i="20"/>
  <c r="AE106" i="20"/>
  <c r="AQ106" i="20"/>
  <c r="Y106" i="20"/>
  <c r="AB106" i="20"/>
  <c r="AT106" i="20"/>
  <c r="R20" i="20"/>
  <c r="BB116" i="20"/>
  <c r="AZ116" i="20"/>
  <c r="AH91" i="20"/>
  <c r="AN91" i="20"/>
  <c r="AW91" i="20"/>
  <c r="AT91" i="20"/>
  <c r="AQ91" i="20"/>
  <c r="S91" i="20"/>
  <c r="Y91" i="20"/>
  <c r="BA91" i="20"/>
  <c r="P91" i="20"/>
  <c r="M91" i="20"/>
  <c r="AK91" i="20"/>
  <c r="AE91" i="20"/>
  <c r="I91" i="20"/>
  <c r="L91" i="20" s="1"/>
  <c r="V91" i="20"/>
  <c r="AB91" i="20"/>
  <c r="W30" i="22"/>
  <c r="U30" i="22"/>
  <c r="Y30" i="22"/>
  <c r="M30" i="22"/>
  <c r="AA30" i="22"/>
  <c r="Q30" i="22"/>
  <c r="O30" i="22"/>
  <c r="I30" i="22"/>
  <c r="S30" i="22"/>
  <c r="G30" i="22"/>
  <c r="E30" i="22"/>
  <c r="K30" i="22"/>
  <c r="AZ30" i="44"/>
  <c r="BB30" i="44"/>
  <c r="AY14" i="44"/>
  <c r="AA14" i="44"/>
  <c r="O14" i="44"/>
  <c r="U14" i="44"/>
  <c r="AZ127" i="20"/>
  <c r="BB127" i="20"/>
  <c r="AZ106" i="20"/>
  <c r="BB106" i="20"/>
  <c r="BB108" i="20"/>
  <c r="AE46" i="20"/>
  <c r="Y46" i="20"/>
  <c r="AH46" i="20"/>
  <c r="AW46" i="20"/>
  <c r="I46" i="20"/>
  <c r="L46" i="20"/>
  <c r="AQ46" i="20"/>
  <c r="AK46" i="20"/>
  <c r="AN46" i="20"/>
  <c r="BA46" i="20"/>
  <c r="AB46" i="20"/>
  <c r="V46" i="20"/>
  <c r="AT46" i="20"/>
  <c r="S46" i="20"/>
  <c r="M46" i="20"/>
  <c r="P46" i="20"/>
  <c r="M16" i="22"/>
  <c r="K16" i="22"/>
  <c r="AA16" i="22"/>
  <c r="G16" i="22"/>
  <c r="U16" i="22"/>
  <c r="I16" i="22"/>
  <c r="W16" i="22"/>
  <c r="Q16" i="22"/>
  <c r="O16" i="22"/>
  <c r="S16" i="22"/>
  <c r="E16" i="22"/>
  <c r="Y16" i="22"/>
  <c r="BA20" i="47"/>
  <c r="M20" i="47"/>
  <c r="AB20" i="47"/>
  <c r="S20" i="47"/>
  <c r="V20" i="47"/>
  <c r="Y20" i="47"/>
  <c r="P20" i="47"/>
  <c r="I20" i="47"/>
  <c r="L20" i="47" s="1"/>
  <c r="AE20" i="47"/>
  <c r="AH20" i="47"/>
  <c r="AK20" i="47"/>
  <c r="AN20" i="47"/>
  <c r="AT20" i="47"/>
  <c r="AW20" i="47"/>
  <c r="AQ20" i="47"/>
  <c r="AZ97" i="20"/>
  <c r="BB97" i="20"/>
  <c r="BB44" i="20"/>
  <c r="AZ44" i="20"/>
  <c r="H58" i="44"/>
  <c r="AW58" i="44" s="1"/>
  <c r="BB53" i="20"/>
  <c r="AZ53" i="20"/>
  <c r="AZ65" i="44"/>
  <c r="AP14" i="44"/>
  <c r="BB14" i="44"/>
  <c r="BB26" i="44"/>
  <c r="AZ26" i="44"/>
  <c r="AZ91" i="20"/>
  <c r="BB91" i="20"/>
  <c r="AZ28" i="20"/>
  <c r="BB28" i="20"/>
  <c r="BB126" i="20"/>
  <c r="AZ126" i="20"/>
  <c r="BB52" i="20"/>
  <c r="AZ52" i="20"/>
  <c r="F83" i="42"/>
  <c r="G77" i="44"/>
  <c r="H77" i="44" s="1"/>
  <c r="E82" i="42"/>
  <c r="F82" i="42" s="1"/>
  <c r="G76" i="44" s="1"/>
  <c r="E84" i="42"/>
  <c r="F84" i="42" s="1"/>
  <c r="G78" i="44"/>
  <c r="BB54" i="20"/>
  <c r="AZ54" i="20"/>
  <c r="AZ24" i="20"/>
  <c r="BB24" i="20"/>
  <c r="AZ96" i="20"/>
  <c r="BB96" i="20"/>
  <c r="R14" i="44"/>
  <c r="L14" i="44"/>
  <c r="AV14" i="44"/>
  <c r="AD14" i="44"/>
  <c r="BB68" i="20"/>
  <c r="AZ68" i="20"/>
  <c r="G27" i="29"/>
  <c r="I27" i="29"/>
  <c r="K27" i="29" s="1"/>
  <c r="M27" i="29" s="1"/>
  <c r="O27" i="29"/>
  <c r="Q27" i="29" s="1"/>
  <c r="S27" i="29" s="1"/>
  <c r="U27" i="29" s="1"/>
  <c r="W27" i="29" s="1"/>
  <c r="Y27" i="29" s="1"/>
  <c r="AA27" i="29" s="1"/>
  <c r="F27" i="29"/>
  <c r="BB27" i="20"/>
  <c r="AZ27" i="20"/>
  <c r="AW41" i="20"/>
  <c r="M41" i="20"/>
  <c r="BA41" i="20"/>
  <c r="AB41" i="20"/>
  <c r="Y41" i="20"/>
  <c r="S41" i="20"/>
  <c r="P41" i="20"/>
  <c r="AT41" i="20"/>
  <c r="AK41" i="20"/>
  <c r="AE41" i="20"/>
  <c r="AH41" i="20"/>
  <c r="V41" i="20"/>
  <c r="AN41" i="20"/>
  <c r="I41" i="20"/>
  <c r="L41" i="20" s="1"/>
  <c r="AQ41" i="20"/>
  <c r="K14" i="44"/>
  <c r="C16" i="43" s="1"/>
  <c r="AS14" i="44"/>
  <c r="AG14" i="44"/>
  <c r="AJ14" i="44"/>
  <c r="AZ36" i="20"/>
  <c r="BB36" i="20"/>
  <c r="BA48" i="20"/>
  <c r="AN48" i="20"/>
  <c r="AB48" i="20"/>
  <c r="S48" i="20"/>
  <c r="M48" i="20"/>
  <c r="AT48" i="20"/>
  <c r="AH48" i="20"/>
  <c r="AE48" i="20"/>
  <c r="Y48" i="20"/>
  <c r="P48" i="20"/>
  <c r="AW48" i="20"/>
  <c r="I48" i="20"/>
  <c r="L48" i="20" s="1"/>
  <c r="AQ48" i="20"/>
  <c r="AK48" i="20"/>
  <c r="V48" i="20"/>
  <c r="AZ29" i="44"/>
  <c r="BB29" i="44"/>
  <c r="AZ15" i="47"/>
  <c r="BB15" i="47"/>
  <c r="E16" i="43"/>
  <c r="G16" i="43"/>
  <c r="AZ20" i="47"/>
  <c r="BB20" i="47"/>
  <c r="BB41" i="20"/>
  <c r="AZ41" i="20"/>
  <c r="BB46" i="20"/>
  <c r="AZ46" i="20"/>
  <c r="AB59" i="44"/>
  <c r="S59" i="44"/>
  <c r="V59" i="44"/>
  <c r="M59" i="44"/>
  <c r="AN59" i="44"/>
  <c r="AE59" i="44"/>
  <c r="AH59" i="44"/>
  <c r="AK59" i="44"/>
  <c r="I59" i="44"/>
  <c r="AQ59" i="44"/>
  <c r="AT59" i="44"/>
  <c r="Y59" i="44"/>
  <c r="P59" i="44"/>
  <c r="BA59" i="44"/>
  <c r="AZ59" i="44" s="1"/>
  <c r="AW59" i="44"/>
  <c r="AT58" i="44"/>
  <c r="I58" i="44"/>
  <c r="AK58" i="44"/>
  <c r="C30" i="31"/>
  <c r="C30" i="30"/>
  <c r="C30" i="40"/>
  <c r="C30" i="35"/>
  <c r="C30" i="32"/>
  <c r="C30" i="34"/>
  <c r="C30" i="33"/>
  <c r="C31" i="27"/>
  <c r="C30" i="37"/>
  <c r="C30" i="38"/>
  <c r="C30" i="36"/>
  <c r="C30" i="39"/>
  <c r="C20" i="54" l="1"/>
  <c r="C18" i="8"/>
  <c r="G21" i="54"/>
  <c r="I21" i="54"/>
  <c r="E21" i="54"/>
  <c r="H22" i="37"/>
  <c r="C19" i="54"/>
  <c r="E19" i="54" s="1"/>
  <c r="C14" i="8"/>
  <c r="C16" i="54"/>
  <c r="H19" i="38"/>
  <c r="H25" i="38" s="1"/>
  <c r="H19" i="39"/>
  <c r="H25" i="39" s="1"/>
  <c r="H22" i="39"/>
  <c r="H21" i="39"/>
  <c r="H21" i="40"/>
  <c r="H22" i="40"/>
  <c r="H23" i="38"/>
  <c r="H23" i="40"/>
  <c r="G571" i="53"/>
  <c r="G576" i="53" s="1"/>
  <c r="F125" i="52" s="1"/>
  <c r="G125" i="52" s="1"/>
  <c r="H125" i="52" s="1"/>
  <c r="H128" i="52" s="1"/>
  <c r="H20" i="40"/>
  <c r="H20" i="34"/>
  <c r="H23" i="34"/>
  <c r="H20" i="35"/>
  <c r="H21" i="38"/>
  <c r="H22" i="35"/>
  <c r="H21" i="34"/>
  <c r="H19" i="34"/>
  <c r="H25" i="34" s="1"/>
  <c r="H21" i="35"/>
  <c r="H19" i="35"/>
  <c r="H25" i="35" s="1"/>
  <c r="H22" i="38"/>
  <c r="H22" i="27"/>
  <c r="H20" i="30"/>
  <c r="H21" i="37"/>
  <c r="H19" i="27"/>
  <c r="H25" i="27" s="1"/>
  <c r="H21" i="36"/>
  <c r="H20" i="36"/>
  <c r="H19" i="37"/>
  <c r="H25" i="37" s="1"/>
  <c r="H21" i="30"/>
  <c r="H19" i="30"/>
  <c r="H25" i="30" s="1"/>
  <c r="H20" i="37"/>
  <c r="H21" i="27"/>
  <c r="H22" i="30"/>
  <c r="H23" i="27"/>
  <c r="G25" i="53"/>
  <c r="G15" i="53"/>
  <c r="G16" i="53" s="1"/>
  <c r="F12" i="52" s="1"/>
  <c r="S77" i="44"/>
  <c r="AT77" i="44"/>
  <c r="AB77" i="44"/>
  <c r="I77" i="44"/>
  <c r="AK77" i="44"/>
  <c r="AE77" i="44"/>
  <c r="AQ77" i="44"/>
  <c r="BA77" i="44"/>
  <c r="AH77" i="44"/>
  <c r="P77" i="44"/>
  <c r="AN77" i="44"/>
  <c r="AZ118" i="20"/>
  <c r="BB118" i="20"/>
  <c r="R14" i="19"/>
  <c r="L14" i="19"/>
  <c r="U14" i="19"/>
  <c r="AJ14" i="19"/>
  <c r="AP14" i="19"/>
  <c r="AA14" i="19"/>
  <c r="AS14" i="19"/>
  <c r="AY14" i="19"/>
  <c r="AG14" i="19"/>
  <c r="AV14" i="19"/>
  <c r="O14" i="19"/>
  <c r="X14" i="19"/>
  <c r="BB14" i="19"/>
  <c r="AD14" i="19"/>
  <c r="K14" i="19"/>
  <c r="AM14" i="19"/>
  <c r="AW77" i="44"/>
  <c r="V77" i="44"/>
  <c r="AM14" i="44"/>
  <c r="Y77" i="44"/>
  <c r="M77" i="44"/>
  <c r="K78" i="44"/>
  <c r="H78" i="44"/>
  <c r="K57" i="20"/>
  <c r="C20" i="22" s="1"/>
  <c r="AQ99" i="20"/>
  <c r="AK99" i="20"/>
  <c r="S99" i="20"/>
  <c r="V99" i="20"/>
  <c r="BA99" i="20"/>
  <c r="AB99" i="20"/>
  <c r="Y99" i="20"/>
  <c r="P99" i="20"/>
  <c r="AE99" i="20"/>
  <c r="AH99" i="20"/>
  <c r="AN99" i="20"/>
  <c r="M99" i="20"/>
  <c r="AT99" i="20"/>
  <c r="AW99" i="20"/>
  <c r="I99" i="20"/>
  <c r="L99" i="20" s="1"/>
  <c r="BB48" i="20"/>
  <c r="AZ48" i="20"/>
  <c r="I16" i="43"/>
  <c r="S16" i="43"/>
  <c r="U16" i="43"/>
  <c r="Y16" i="43"/>
  <c r="Q16" i="43"/>
  <c r="AA16" i="43"/>
  <c r="W16" i="43"/>
  <c r="M16" i="43"/>
  <c r="K16" i="43"/>
  <c r="O16" i="43"/>
  <c r="K76" i="44"/>
  <c r="H76" i="44"/>
  <c r="BB18" i="20"/>
  <c r="AZ18" i="20"/>
  <c r="AH58" i="44"/>
  <c r="AB58" i="44"/>
  <c r="BB114" i="20"/>
  <c r="H26" i="29"/>
  <c r="H27" i="29" s="1"/>
  <c r="J26" i="29"/>
  <c r="D23" i="29"/>
  <c r="D21" i="29"/>
  <c r="D16" i="29"/>
  <c r="D26" i="29" s="1"/>
  <c r="D20" i="29"/>
  <c r="D19" i="29"/>
  <c r="X26" i="29"/>
  <c r="D22" i="29"/>
  <c r="D17" i="29"/>
  <c r="N26" i="29"/>
  <c r="L26" i="29"/>
  <c r="AN58" i="44"/>
  <c r="M58" i="44"/>
  <c r="AZ16" i="28"/>
  <c r="BB35" i="20"/>
  <c r="AZ35" i="20"/>
  <c r="H34" i="44"/>
  <c r="K34" i="44"/>
  <c r="H79" i="44"/>
  <c r="K79" i="44"/>
  <c r="Y58" i="44"/>
  <c r="AQ58" i="44"/>
  <c r="V58" i="44"/>
  <c r="BA58" i="44"/>
  <c r="E20" i="43"/>
  <c r="M20" i="43"/>
  <c r="I20" i="43"/>
  <c r="K20" i="43"/>
  <c r="S20" i="43"/>
  <c r="Q20" i="43"/>
  <c r="U20" i="43"/>
  <c r="W20" i="43"/>
  <c r="Y20" i="43"/>
  <c r="O20" i="43"/>
  <c r="G20" i="43"/>
  <c r="AZ123" i="20"/>
  <c r="BB123" i="20"/>
  <c r="S58" i="44"/>
  <c r="P58" i="44"/>
  <c r="K86" i="20"/>
  <c r="C24" i="22" s="1"/>
  <c r="AW18" i="20"/>
  <c r="M18" i="20"/>
  <c r="AN18" i="20"/>
  <c r="AK18" i="20"/>
  <c r="V18" i="20"/>
  <c r="S18" i="20"/>
  <c r="P18" i="20"/>
  <c r="AQ18" i="20"/>
  <c r="AH18" i="20"/>
  <c r="I18" i="20"/>
  <c r="L18" i="20" s="1"/>
  <c r="AT18" i="20"/>
  <c r="AB18" i="20"/>
  <c r="AE18" i="20"/>
  <c r="Y18" i="20"/>
  <c r="AE58" i="44"/>
  <c r="H88" i="20"/>
  <c r="K88" i="20"/>
  <c r="H89" i="20"/>
  <c r="K89" i="20"/>
  <c r="BA33" i="44"/>
  <c r="AH33" i="44"/>
  <c r="AT33" i="44"/>
  <c r="M33" i="44"/>
  <c r="AK33" i="44"/>
  <c r="S33" i="44"/>
  <c r="I33" i="44"/>
  <c r="L33" i="44" s="1"/>
  <c r="AW33" i="44"/>
  <c r="V33" i="44"/>
  <c r="AE33" i="44"/>
  <c r="AB33" i="44"/>
  <c r="Y33" i="44"/>
  <c r="AQ33" i="44"/>
  <c r="P33" i="44"/>
  <c r="M39" i="20"/>
  <c r="BA39" i="20"/>
  <c r="Y39" i="20"/>
  <c r="AB39" i="20"/>
  <c r="AK39" i="20"/>
  <c r="AT39" i="20"/>
  <c r="I39" i="20"/>
  <c r="L39" i="20" s="1"/>
  <c r="P39" i="20"/>
  <c r="AH39" i="20"/>
  <c r="S39" i="20"/>
  <c r="V39" i="20"/>
  <c r="AE39" i="20"/>
  <c r="AN39" i="20"/>
  <c r="AQ39" i="20"/>
  <c r="AW39" i="20"/>
  <c r="AD42" i="20"/>
  <c r="O42" i="20"/>
  <c r="AT37" i="44"/>
  <c r="S37" i="44"/>
  <c r="M37" i="44"/>
  <c r="AE37" i="44"/>
  <c r="Y37" i="44"/>
  <c r="AQ37" i="44"/>
  <c r="AK37" i="44"/>
  <c r="BA37" i="44"/>
  <c r="AN37" i="44"/>
  <c r="AB37" i="44"/>
  <c r="V37" i="44"/>
  <c r="P37" i="44"/>
  <c r="I37" i="44"/>
  <c r="AH37" i="44"/>
  <c r="AW37" i="44"/>
  <c r="M33" i="22"/>
  <c r="I33" i="22"/>
  <c r="G33" i="22"/>
  <c r="Y33" i="22"/>
  <c r="E33" i="22"/>
  <c r="O33" i="22"/>
  <c r="Q33" i="22"/>
  <c r="K33" i="22"/>
  <c r="W33" i="22"/>
  <c r="AA33" i="22"/>
  <c r="U33" i="22"/>
  <c r="R16" i="19"/>
  <c r="AS21" i="28"/>
  <c r="H40" i="20"/>
  <c r="K40" i="20"/>
  <c r="K72" i="20"/>
  <c r="H72" i="20"/>
  <c r="BB130" i="20"/>
  <c r="AZ130" i="20"/>
  <c r="AS42" i="20"/>
  <c r="H38" i="20"/>
  <c r="K38" i="20"/>
  <c r="R86" i="20"/>
  <c r="Y36" i="44"/>
  <c r="V36" i="44"/>
  <c r="S36" i="44"/>
  <c r="AK36" i="44"/>
  <c r="AH36" i="44"/>
  <c r="AT36" i="44"/>
  <c r="P36" i="44"/>
  <c r="AW36" i="44"/>
  <c r="AN36" i="44"/>
  <c r="I36" i="44"/>
  <c r="L36" i="44" s="1"/>
  <c r="AE36" i="44"/>
  <c r="AQ36" i="44"/>
  <c r="M36" i="44"/>
  <c r="BA36" i="44"/>
  <c r="AW14" i="28"/>
  <c r="I14" i="28"/>
  <c r="L14" i="28" s="1"/>
  <c r="S14" i="28"/>
  <c r="AQ14" i="28"/>
  <c r="V14" i="28"/>
  <c r="AT14" i="28"/>
  <c r="Y14" i="28"/>
  <c r="P14" i="28"/>
  <c r="AN14" i="28"/>
  <c r="AE14" i="28"/>
  <c r="BA14" i="28"/>
  <c r="AH14" i="28"/>
  <c r="M14" i="28"/>
  <c r="H55" i="20"/>
  <c r="K55" i="20"/>
  <c r="AW113" i="20"/>
  <c r="AH113" i="20"/>
  <c r="S113" i="20"/>
  <c r="AN113" i="20"/>
  <c r="BA113" i="20"/>
  <c r="AK113" i="20"/>
  <c r="I113" i="20"/>
  <c r="L113" i="20" s="1"/>
  <c r="AT113" i="20"/>
  <c r="AE113" i="20"/>
  <c r="V113" i="20"/>
  <c r="Y113" i="20"/>
  <c r="P113" i="20"/>
  <c r="M113" i="20"/>
  <c r="AB113" i="20"/>
  <c r="AQ113" i="20"/>
  <c r="AJ57" i="20"/>
  <c r="K37" i="20"/>
  <c r="H37" i="20"/>
  <c r="AY117" i="20"/>
  <c r="AY119" i="20" s="1"/>
  <c r="AW117" i="20"/>
  <c r="AB71" i="20"/>
  <c r="I71" i="20"/>
  <c r="L71" i="20" s="1"/>
  <c r="R55" i="44"/>
  <c r="AD55" i="44"/>
  <c r="X55" i="44"/>
  <c r="AP55" i="44"/>
  <c r="AJ55" i="44"/>
  <c r="K55" i="44"/>
  <c r="AA55" i="44"/>
  <c r="V50" i="44"/>
  <c r="AN50" i="44"/>
  <c r="AB50" i="44"/>
  <c r="P50" i="44"/>
  <c r="AW50" i="44"/>
  <c r="AK50" i="44"/>
  <c r="AW20" i="44"/>
  <c r="AY20" i="44"/>
  <c r="M18" i="44"/>
  <c r="AN18" i="44"/>
  <c r="Y18" i="44"/>
  <c r="AK18" i="44"/>
  <c r="I18" i="44"/>
  <c r="L18" i="44" s="1"/>
  <c r="AW18" i="44"/>
  <c r="AQ18" i="44"/>
  <c r="X102" i="19"/>
  <c r="AY102" i="19"/>
  <c r="AV102" i="19"/>
  <c r="AP102" i="19"/>
  <c r="O102" i="19"/>
  <c r="AJ102" i="19"/>
  <c r="AJ126" i="19" s="1"/>
  <c r="R102" i="19"/>
  <c r="R126" i="19" s="1"/>
  <c r="M19" i="29"/>
  <c r="U19" i="29"/>
  <c r="AW64" i="44"/>
  <c r="S64" i="44"/>
  <c r="K19" i="19"/>
  <c r="L19" i="19"/>
  <c r="X17" i="19"/>
  <c r="AD18" i="28"/>
  <c r="AY19" i="28"/>
  <c r="AB63" i="20"/>
  <c r="BA63" i="20"/>
  <c r="Y63" i="20"/>
  <c r="AN53" i="44"/>
  <c r="V53" i="44"/>
  <c r="BB76" i="19"/>
  <c r="AZ19" i="28"/>
  <c r="L13" i="19"/>
  <c r="U13" i="19"/>
  <c r="AS17" i="44"/>
  <c r="AP19" i="28"/>
  <c r="O19" i="28"/>
  <c r="E19" i="29"/>
  <c r="AY19" i="19"/>
  <c r="AA102" i="19"/>
  <c r="AA126" i="19" s="1"/>
  <c r="BA80" i="20"/>
  <c r="P135" i="20"/>
  <c r="AN135" i="20"/>
  <c r="S135" i="20"/>
  <c r="V135" i="20"/>
  <c r="AH135" i="20"/>
  <c r="AT135" i="20"/>
  <c r="M135" i="20"/>
  <c r="S100" i="20"/>
  <c r="BA100" i="20"/>
  <c r="AK100" i="20"/>
  <c r="AT100" i="20"/>
  <c r="AH100" i="20"/>
  <c r="V100" i="20"/>
  <c r="AB100" i="20"/>
  <c r="Y107" i="20"/>
  <c r="AQ107" i="20"/>
  <c r="V107" i="20"/>
  <c r="AH107" i="20"/>
  <c r="AT107" i="20"/>
  <c r="AN107" i="20"/>
  <c r="AK107" i="20"/>
  <c r="BB26" i="19"/>
  <c r="AY130" i="20"/>
  <c r="AW130" i="20"/>
  <c r="AG110" i="20"/>
  <c r="AG111" i="20" s="1"/>
  <c r="AS110" i="20"/>
  <c r="AS111" i="20" s="1"/>
  <c r="U110" i="20"/>
  <c r="U111" i="20" s="1"/>
  <c r="O110" i="20"/>
  <c r="O111" i="20" s="1"/>
  <c r="AA110" i="20"/>
  <c r="AA111" i="20" s="1"/>
  <c r="I98" i="20"/>
  <c r="L98" i="20" s="1"/>
  <c r="AE98" i="20"/>
  <c r="P98" i="20"/>
  <c r="AK98" i="20"/>
  <c r="S98" i="20"/>
  <c r="AB98" i="20"/>
  <c r="BA98" i="20"/>
  <c r="V98" i="20"/>
  <c r="P80" i="20"/>
  <c r="AN80" i="20"/>
  <c r="V80" i="20"/>
  <c r="AE80" i="20"/>
  <c r="AT80" i="20"/>
  <c r="AW80" i="20"/>
  <c r="S80" i="20"/>
  <c r="M80" i="20"/>
  <c r="I80" i="20"/>
  <c r="L80" i="20" s="1"/>
  <c r="AB80" i="20"/>
  <c r="AM66" i="44"/>
  <c r="K66" i="44"/>
  <c r="H62" i="44"/>
  <c r="K62" i="44"/>
  <c r="P124" i="19"/>
  <c r="AN124" i="19"/>
  <c r="M124" i="19"/>
  <c r="AQ124" i="19"/>
  <c r="S124" i="19"/>
  <c r="AT124" i="19"/>
  <c r="V124" i="19"/>
  <c r="Y124" i="19"/>
  <c r="BA124" i="19"/>
  <c r="AB124" i="19"/>
  <c r="AE124" i="19"/>
  <c r="AH124" i="19"/>
  <c r="AK124" i="19"/>
  <c r="I124" i="19"/>
  <c r="L124" i="19" s="1"/>
  <c r="U104" i="20"/>
  <c r="AS128" i="20"/>
  <c r="H19" i="31"/>
  <c r="H25" i="31" s="1"/>
  <c r="AZ64" i="44"/>
  <c r="AH64" i="44"/>
  <c r="I64" i="44"/>
  <c r="L64" i="44" s="1"/>
  <c r="BB85" i="19"/>
  <c r="AM19" i="19"/>
  <c r="AG19" i="19"/>
  <c r="AY17" i="19"/>
  <c r="AS17" i="19"/>
  <c r="K18" i="28"/>
  <c r="AM18" i="28"/>
  <c r="H23" i="20"/>
  <c r="V63" i="20"/>
  <c r="AE63" i="20"/>
  <c r="AZ85" i="44"/>
  <c r="AW53" i="44"/>
  <c r="AQ53" i="44"/>
  <c r="BB30" i="47"/>
  <c r="BB102" i="19"/>
  <c r="AD19" i="28"/>
  <c r="K19" i="28"/>
  <c r="Y19" i="29"/>
  <c r="AS102" i="19"/>
  <c r="AG102" i="19"/>
  <c r="AT50" i="44"/>
  <c r="AH98" i="20"/>
  <c r="BA117" i="20"/>
  <c r="I141" i="20"/>
  <c r="AB141" i="20"/>
  <c r="M141" i="20"/>
  <c r="AH141" i="20"/>
  <c r="S141" i="20"/>
  <c r="BA141" i="20"/>
  <c r="AT141" i="20"/>
  <c r="AK141" i="20"/>
  <c r="AQ141" i="20"/>
  <c r="P141" i="20"/>
  <c r="M133" i="20"/>
  <c r="I133" i="20"/>
  <c r="L133" i="20" s="1"/>
  <c r="AH133" i="20"/>
  <c r="AQ133" i="20"/>
  <c r="AT133" i="20"/>
  <c r="P133" i="20"/>
  <c r="AB133" i="20"/>
  <c r="AW133" i="20"/>
  <c r="AY83" i="20"/>
  <c r="AW83" i="20"/>
  <c r="BA83" i="20"/>
  <c r="AV72" i="20"/>
  <c r="U72" i="20"/>
  <c r="AA72" i="20"/>
  <c r="AA76" i="20" s="1"/>
  <c r="AM72" i="20"/>
  <c r="AD72" i="20"/>
  <c r="AS72" i="20"/>
  <c r="O72" i="20"/>
  <c r="O76" i="20" s="1"/>
  <c r="AY72" i="20"/>
  <c r="AJ72" i="20"/>
  <c r="S62" i="20"/>
  <c r="AH62" i="20"/>
  <c r="AQ62" i="20"/>
  <c r="AN62" i="20"/>
  <c r="BA62" i="20"/>
  <c r="AT62" i="20"/>
  <c r="AE62" i="20"/>
  <c r="M62" i="20"/>
  <c r="Y62" i="20"/>
  <c r="AK62" i="20"/>
  <c r="AB62" i="20"/>
  <c r="I62" i="20"/>
  <c r="L62" i="20" s="1"/>
  <c r="L65" i="20" s="1"/>
  <c r="AW62" i="20"/>
  <c r="Y49" i="20"/>
  <c r="AK49" i="20"/>
  <c r="I49" i="20"/>
  <c r="L49" i="20" s="1"/>
  <c r="AW49" i="20"/>
  <c r="AQ49" i="20"/>
  <c r="AY76" i="20"/>
  <c r="H23" i="31"/>
  <c r="AZ13" i="20"/>
  <c r="V64" i="44"/>
  <c r="AN64" i="44"/>
  <c r="AA19" i="19"/>
  <c r="U19" i="19"/>
  <c r="K17" i="19"/>
  <c r="AG17" i="19"/>
  <c r="AY18" i="28"/>
  <c r="AA18" i="28"/>
  <c r="AN63" i="20"/>
  <c r="S63" i="20"/>
  <c r="AK53" i="44"/>
  <c r="AE53" i="44"/>
  <c r="BB13" i="19"/>
  <c r="AZ55" i="19"/>
  <c r="AP13" i="19"/>
  <c r="AA13" i="19"/>
  <c r="AZ19" i="19"/>
  <c r="BB32" i="19"/>
  <c r="AZ47" i="20"/>
  <c r="AV19" i="28"/>
  <c r="BA20" i="44"/>
  <c r="AT98" i="20"/>
  <c r="AY138" i="20"/>
  <c r="M137" i="20"/>
  <c r="AQ137" i="20"/>
  <c r="S137" i="20"/>
  <c r="V137" i="20"/>
  <c r="Y137" i="20"/>
  <c r="AK137" i="20"/>
  <c r="AN137" i="20"/>
  <c r="AB137" i="20"/>
  <c r="X136" i="20"/>
  <c r="AJ136" i="20"/>
  <c r="AV136" i="20"/>
  <c r="R136" i="20"/>
  <c r="K136" i="20"/>
  <c r="BA132" i="20"/>
  <c r="AK132" i="20"/>
  <c r="S132" i="20"/>
  <c r="AW132" i="20"/>
  <c r="V132" i="20"/>
  <c r="AH132" i="20"/>
  <c r="AT132" i="20"/>
  <c r="AQ132" i="20"/>
  <c r="AB132" i="20"/>
  <c r="AQ130" i="20"/>
  <c r="P130" i="20"/>
  <c r="M130" i="20"/>
  <c r="AB130" i="20"/>
  <c r="S130" i="20"/>
  <c r="AN130" i="20"/>
  <c r="AK130" i="20"/>
  <c r="V130" i="20"/>
  <c r="AH130" i="20"/>
  <c r="AT130" i="20"/>
  <c r="I130" i="20"/>
  <c r="L130" i="20" s="1"/>
  <c r="AE121" i="20"/>
  <c r="V121" i="20"/>
  <c r="AQ121" i="20"/>
  <c r="AB121" i="20"/>
  <c r="BA121" i="20"/>
  <c r="AH121" i="20"/>
  <c r="M121" i="20"/>
  <c r="AN121" i="20"/>
  <c r="P121" i="20"/>
  <c r="I121" i="20"/>
  <c r="L121" i="20" s="1"/>
  <c r="AK121" i="20"/>
  <c r="AA97" i="20"/>
  <c r="AJ97" i="20"/>
  <c r="AM97" i="20"/>
  <c r="AV97" i="20"/>
  <c r="O97" i="20"/>
  <c r="X97" i="20"/>
  <c r="R97" i="20"/>
  <c r="AB64" i="44"/>
  <c r="AZ91" i="19"/>
  <c r="O19" i="19"/>
  <c r="AA17" i="19"/>
  <c r="U17" i="19"/>
  <c r="AS18" i="28"/>
  <c r="O18" i="28"/>
  <c r="AH63" i="20"/>
  <c r="Y53" i="44"/>
  <c r="S53" i="44"/>
  <c r="R13" i="19"/>
  <c r="AV13" i="19"/>
  <c r="X19" i="28"/>
  <c r="AZ26" i="47"/>
  <c r="AY13" i="19"/>
  <c r="AM55" i="44"/>
  <c r="AM110" i="20"/>
  <c r="AM111" i="20" s="1"/>
  <c r="AH80" i="20"/>
  <c r="AY127" i="20"/>
  <c r="AM121" i="20"/>
  <c r="U121" i="20"/>
  <c r="AP121" i="20"/>
  <c r="AS121" i="20"/>
  <c r="AA121" i="20"/>
  <c r="X121" i="20"/>
  <c r="R121" i="20"/>
  <c r="AD121" i="20"/>
  <c r="AD128" i="20" s="1"/>
  <c r="O121" i="20"/>
  <c r="AJ121" i="20"/>
  <c r="AY121" i="20"/>
  <c r="AW98" i="20"/>
  <c r="AY98" i="20"/>
  <c r="AY104" i="20" s="1"/>
  <c r="AH79" i="20"/>
  <c r="BA79" i="20"/>
  <c r="M79" i="20"/>
  <c r="Y79" i="20"/>
  <c r="I79" i="20"/>
  <c r="AK79" i="20"/>
  <c r="AQ79" i="20"/>
  <c r="H20" i="31"/>
  <c r="H22" i="31"/>
  <c r="AV19" i="19"/>
  <c r="BB13" i="28"/>
  <c r="AM17" i="19"/>
  <c r="AP17" i="19"/>
  <c r="AG18" i="28"/>
  <c r="AV18" i="28"/>
  <c r="P63" i="20"/>
  <c r="BB17" i="44"/>
  <c r="AZ95" i="19"/>
  <c r="BB125" i="20"/>
  <c r="M53" i="44"/>
  <c r="AZ64" i="20"/>
  <c r="AV17" i="44"/>
  <c r="AA19" i="28"/>
  <c r="AS19" i="28"/>
  <c r="K102" i="19"/>
  <c r="BA18" i="44"/>
  <c r="M50" i="44"/>
  <c r="O55" i="44"/>
  <c r="AK80" i="20"/>
  <c r="L138" i="20"/>
  <c r="AJ138" i="20"/>
  <c r="AA138" i="20"/>
  <c r="AA139" i="20" s="1"/>
  <c r="AG138" i="20"/>
  <c r="AM138" i="20"/>
  <c r="R138" i="20"/>
  <c r="AP138" i="20"/>
  <c r="K138" i="20"/>
  <c r="X138" i="20"/>
  <c r="AV138" i="20"/>
  <c r="U138" i="20"/>
  <c r="AJ79" i="20"/>
  <c r="AJ86" i="20" s="1"/>
  <c r="AM79" i="20"/>
  <c r="AV79" i="20"/>
  <c r="R79" i="20"/>
  <c r="AD79" i="20"/>
  <c r="AD86" i="20" s="1"/>
  <c r="K79" i="20"/>
  <c r="O79" i="20"/>
  <c r="AA79" i="20"/>
  <c r="U79" i="20"/>
  <c r="L79" i="20"/>
  <c r="L86" i="20" s="1"/>
  <c r="X79" i="20"/>
  <c r="X86" i="20" s="1"/>
  <c r="AK64" i="44"/>
  <c r="BB66" i="44"/>
  <c r="AP19" i="19"/>
  <c r="AV17" i="19"/>
  <c r="U18" i="28"/>
  <c r="AT53" i="44"/>
  <c r="O13" i="19"/>
  <c r="R19" i="28"/>
  <c r="L22" i="19"/>
  <c r="AD102" i="19"/>
  <c r="AD126" i="19" s="1"/>
  <c r="AE18" i="44"/>
  <c r="Y50" i="44"/>
  <c r="AV55" i="44"/>
  <c r="Y80" i="20"/>
  <c r="AV127" i="20"/>
  <c r="R127" i="20"/>
  <c r="AM127" i="20"/>
  <c r="U127" i="20"/>
  <c r="AD127" i="20"/>
  <c r="AG127" i="20"/>
  <c r="AJ127" i="20"/>
  <c r="AS127" i="20"/>
  <c r="O127" i="20"/>
  <c r="U122" i="20"/>
  <c r="U128" i="20" s="1"/>
  <c r="X122" i="20"/>
  <c r="AA122" i="20"/>
  <c r="AJ122" i="20"/>
  <c r="AG122" i="20"/>
  <c r="AV122" i="20"/>
  <c r="AV128" i="20" s="1"/>
  <c r="AM122" i="20"/>
  <c r="R122" i="20"/>
  <c r="AD122" i="20"/>
  <c r="AP122" i="20"/>
  <c r="AS122" i="20"/>
  <c r="O118" i="20"/>
  <c r="AS118" i="20"/>
  <c r="R118" i="20"/>
  <c r="AV118" i="20"/>
  <c r="U118" i="20"/>
  <c r="X118" i="20"/>
  <c r="AD118" i="20"/>
  <c r="AA118" i="20"/>
  <c r="AA119" i="20" s="1"/>
  <c r="AG118" i="20"/>
  <c r="AJ118" i="20"/>
  <c r="AP118" i="20"/>
  <c r="AB21" i="47"/>
  <c r="AN70" i="20"/>
  <c r="AQ70" i="20"/>
  <c r="L115" i="20"/>
  <c r="AB122" i="20"/>
  <c r="AD100" i="20"/>
  <c r="AJ100" i="20"/>
  <c r="K100" i="20"/>
  <c r="R100" i="20"/>
  <c r="AS100" i="20"/>
  <c r="AV100" i="20"/>
  <c r="Y93" i="20"/>
  <c r="I93" i="20"/>
  <c r="AQ93" i="20"/>
  <c r="S93" i="20"/>
  <c r="AN93" i="20"/>
  <c r="AE93" i="20"/>
  <c r="V93" i="20"/>
  <c r="AM84" i="20"/>
  <c r="AD84" i="20"/>
  <c r="AA84" i="20"/>
  <c r="AP84" i="20"/>
  <c r="AG84" i="20"/>
  <c r="AG86" i="20" s="1"/>
  <c r="K84" i="20"/>
  <c r="AS84" i="20"/>
  <c r="X84" i="20"/>
  <c r="L75" i="20"/>
  <c r="U75" i="20"/>
  <c r="AV75" i="20"/>
  <c r="AA75" i="20"/>
  <c r="AD75" i="20"/>
  <c r="AY75" i="20"/>
  <c r="AG75" i="20"/>
  <c r="AG76" i="20" s="1"/>
  <c r="R75" i="20"/>
  <c r="R76" i="20" s="1"/>
  <c r="AJ75" i="20"/>
  <c r="AM75" i="20"/>
  <c r="AP75" i="20"/>
  <c r="AP76" i="20" s="1"/>
  <c r="X126" i="20"/>
  <c r="AG126" i="20"/>
  <c r="AJ126" i="20"/>
  <c r="AV126" i="20"/>
  <c r="O126" i="20"/>
  <c r="P122" i="20"/>
  <c r="AN122" i="20"/>
  <c r="V122" i="20"/>
  <c r="AY118" i="20"/>
  <c r="AK85" i="20"/>
  <c r="AQ85" i="20"/>
  <c r="V85" i="20"/>
  <c r="AH85" i="20"/>
  <c r="AE85" i="20"/>
  <c r="AE21" i="47"/>
  <c r="Y21" i="47"/>
  <c r="AA88" i="20"/>
  <c r="AA94" i="20" s="1"/>
  <c r="X115" i="20"/>
  <c r="AW125" i="20"/>
  <c r="S70" i="20"/>
  <c r="K71" i="20"/>
  <c r="AE125" i="20"/>
  <c r="K82" i="20"/>
  <c r="M122" i="20"/>
  <c r="AT85" i="20"/>
  <c r="AD126" i="20"/>
  <c r="O84" i="20"/>
  <c r="X133" i="20"/>
  <c r="X139" i="20" s="1"/>
  <c r="AW131" i="20"/>
  <c r="AM101" i="20"/>
  <c r="K98" i="20"/>
  <c r="AM85" i="20"/>
  <c r="K85" i="20"/>
  <c r="AG85" i="20"/>
  <c r="X85" i="20"/>
  <c r="AS85" i="20"/>
  <c r="AK69" i="20"/>
  <c r="M69" i="20"/>
  <c r="S69" i="20"/>
  <c r="AE69" i="20"/>
  <c r="AQ69" i="20"/>
  <c r="I69" i="20"/>
  <c r="L69" i="20" s="1"/>
  <c r="AB69" i="20"/>
  <c r="S21" i="47"/>
  <c r="M21" i="47"/>
  <c r="O100" i="20"/>
  <c r="AW70" i="20"/>
  <c r="S125" i="20"/>
  <c r="AS82" i="20"/>
  <c r="AB93" i="20"/>
  <c r="R126" i="20"/>
  <c r="AV84" i="20"/>
  <c r="K142" i="20"/>
  <c r="K143" i="20" s="1"/>
  <c r="C32" i="22" s="1"/>
  <c r="AT134" i="20"/>
  <c r="AQ134" i="20"/>
  <c r="P134" i="20"/>
  <c r="Y124" i="20"/>
  <c r="I124" i="20"/>
  <c r="L124" i="20" s="1"/>
  <c r="AT124" i="20"/>
  <c r="AY110" i="20"/>
  <c r="AY111" i="20" s="1"/>
  <c r="O99" i="20"/>
  <c r="O104" i="20" s="1"/>
  <c r="AV99" i="20"/>
  <c r="R99" i="20"/>
  <c r="X99" i="20"/>
  <c r="AA99" i="20"/>
  <c r="AG99" i="20"/>
  <c r="AG104" i="20" s="1"/>
  <c r="AJ99" i="20"/>
  <c r="AM99" i="20"/>
  <c r="AS99" i="20"/>
  <c r="AS104" i="20" s="1"/>
  <c r="AW93" i="20"/>
  <c r="AM67" i="20"/>
  <c r="X67" i="20"/>
  <c r="X76" i="20" s="1"/>
  <c r="AS67" i="20"/>
  <c r="AA100" i="20"/>
  <c r="S122" i="20"/>
  <c r="AW138" i="20"/>
  <c r="P70" i="20"/>
  <c r="Y85" i="20"/>
  <c r="AE78" i="20"/>
  <c r="P93" i="20"/>
  <c r="AJ84" i="20"/>
  <c r="O145" i="20"/>
  <c r="O146" i="20" s="1"/>
  <c r="R145" i="20"/>
  <c r="R146" i="20" s="1"/>
  <c r="AA145" i="20"/>
  <c r="AA146" i="20" s="1"/>
  <c r="X145" i="20"/>
  <c r="X146" i="20" s="1"/>
  <c r="AD145" i="20"/>
  <c r="AD146" i="20" s="1"/>
  <c r="AW135" i="20"/>
  <c r="AJ133" i="20"/>
  <c r="AJ139" i="20" s="1"/>
  <c r="O133" i="20"/>
  <c r="O139" i="20" s="1"/>
  <c r="AM133" i="20"/>
  <c r="AM139" i="20" s="1"/>
  <c r="R133" i="20"/>
  <c r="AP133" i="20"/>
  <c r="AP139" i="20" s="1"/>
  <c r="U133" i="20"/>
  <c r="U139" i="20" s="1"/>
  <c r="AS133" i="20"/>
  <c r="AS139" i="20" s="1"/>
  <c r="AS101" i="20"/>
  <c r="X101" i="20"/>
  <c r="AV101" i="20"/>
  <c r="AA101" i="20"/>
  <c r="O101" i="20"/>
  <c r="R101" i="20"/>
  <c r="AG101" i="20"/>
  <c r="AJ101" i="20"/>
  <c r="AS75" i="20"/>
  <c r="AT115" i="20"/>
  <c r="AE115" i="20"/>
  <c r="Y115" i="20"/>
  <c r="BA115" i="20"/>
  <c r="AK115" i="20"/>
  <c r="AE70" i="20"/>
  <c r="AW85" i="20"/>
  <c r="AB70" i="20"/>
  <c r="AN78" i="20"/>
  <c r="BA85" i="20"/>
  <c r="AT122" i="20"/>
  <c r="AA126" i="20"/>
  <c r="I142" i="20"/>
  <c r="L142" i="20" s="1"/>
  <c r="AK142" i="20"/>
  <c r="AT142" i="20"/>
  <c r="AQ142" i="20"/>
  <c r="S142" i="20"/>
  <c r="Y131" i="20"/>
  <c r="BA131" i="20"/>
  <c r="M93" i="20"/>
  <c r="X82" i="20"/>
  <c r="O82" i="20"/>
  <c r="AP82" i="20"/>
  <c r="AP86" i="20" s="1"/>
  <c r="AM82" i="20"/>
  <c r="O75" i="20"/>
  <c r="U32" i="20"/>
  <c r="AP32" i="20"/>
  <c r="AY32" i="20"/>
  <c r="AY33" i="20" s="1"/>
  <c r="AD32" i="20"/>
  <c r="X49" i="44"/>
  <c r="AJ49" i="44"/>
  <c r="AH104" i="19"/>
  <c r="AQ104" i="19"/>
  <c r="AT104" i="19"/>
  <c r="V104" i="19"/>
  <c r="M104" i="19"/>
  <c r="AE104" i="19"/>
  <c r="I104" i="19"/>
  <c r="L104" i="19" s="1"/>
  <c r="AW35" i="19"/>
  <c r="AY35" i="19"/>
  <c r="AG131" i="20"/>
  <c r="AG139" i="20" s="1"/>
  <c r="AS117" i="20"/>
  <c r="O117" i="20"/>
  <c r="R116" i="20"/>
  <c r="AP114" i="20"/>
  <c r="X106" i="20"/>
  <c r="X108" i="20" s="1"/>
  <c r="AD106" i="20"/>
  <c r="AD108" i="20" s="1"/>
  <c r="AG106" i="20"/>
  <c r="AG108" i="20" s="1"/>
  <c r="AJ106" i="20"/>
  <c r="AJ108" i="20" s="1"/>
  <c r="AY93" i="20"/>
  <c r="AP89" i="20"/>
  <c r="AP94" i="20" s="1"/>
  <c r="M81" i="20"/>
  <c r="AY78" i="20"/>
  <c r="AY86" i="20" s="1"/>
  <c r="U53" i="20"/>
  <c r="U57" i="20" s="1"/>
  <c r="AB125" i="19"/>
  <c r="I125" i="19"/>
  <c r="L125" i="19" s="1"/>
  <c r="AK125" i="19"/>
  <c r="M125" i="19"/>
  <c r="AN125" i="19"/>
  <c r="P125" i="19"/>
  <c r="AQ125" i="19"/>
  <c r="S125" i="19"/>
  <c r="AT125" i="19"/>
  <c r="V125" i="19"/>
  <c r="Y125" i="19"/>
  <c r="AE125" i="19"/>
  <c r="AH125" i="19"/>
  <c r="BA56" i="20"/>
  <c r="L141" i="20"/>
  <c r="L143" i="20" s="1"/>
  <c r="O113" i="20"/>
  <c r="AM113" i="20"/>
  <c r="AM119" i="20" s="1"/>
  <c r="R113" i="20"/>
  <c r="AP113" i="20"/>
  <c r="U113" i="20"/>
  <c r="AS113" i="20"/>
  <c r="AS119" i="20" s="1"/>
  <c r="X113" i="20"/>
  <c r="AV113" i="20"/>
  <c r="AV119" i="20" s="1"/>
  <c r="R103" i="20"/>
  <c r="AP103" i="20"/>
  <c r="AP104" i="20" s="1"/>
  <c r="U103" i="20"/>
  <c r="AS103" i="20"/>
  <c r="X103" i="20"/>
  <c r="AV103" i="20"/>
  <c r="AA103" i="20"/>
  <c r="AA104" i="20" s="1"/>
  <c r="K102" i="20"/>
  <c r="R102" i="20"/>
  <c r="AD102" i="20"/>
  <c r="X91" i="20"/>
  <c r="AG91" i="20"/>
  <c r="AJ91" i="20"/>
  <c r="AS91" i="20"/>
  <c r="O40" i="20"/>
  <c r="AJ40" i="20"/>
  <c r="AS40" i="20"/>
  <c r="X40" i="20"/>
  <c r="AY40" i="20"/>
  <c r="AD78" i="44"/>
  <c r="AG78" i="44"/>
  <c r="AS78" i="44"/>
  <c r="AV78" i="44"/>
  <c r="R78" i="44"/>
  <c r="U53" i="44"/>
  <c r="AS53" i="44"/>
  <c r="U32" i="47"/>
  <c r="AA32" i="47"/>
  <c r="AG32" i="47"/>
  <c r="R32" i="47"/>
  <c r="AS32" i="47"/>
  <c r="L79" i="19"/>
  <c r="K79" i="19"/>
  <c r="AJ79" i="19"/>
  <c r="O79" i="19"/>
  <c r="AM79" i="19"/>
  <c r="R79" i="19"/>
  <c r="AP79" i="19"/>
  <c r="AV79" i="19"/>
  <c r="U79" i="19"/>
  <c r="X79" i="19"/>
  <c r="AA79" i="19"/>
  <c r="AD79" i="19"/>
  <c r="AG79" i="19"/>
  <c r="AS79" i="19"/>
  <c r="U116" i="20"/>
  <c r="X116" i="20"/>
  <c r="AG116" i="20"/>
  <c r="AG119" i="20" s="1"/>
  <c r="AJ116" i="20"/>
  <c r="U114" i="20"/>
  <c r="X114" i="20"/>
  <c r="AD114" i="20"/>
  <c r="AJ114" i="20"/>
  <c r="AJ119" i="20" s="1"/>
  <c r="S102" i="20"/>
  <c r="BA102" i="20"/>
  <c r="U89" i="20"/>
  <c r="U94" i="20" s="1"/>
  <c r="X89" i="20"/>
  <c r="X94" i="20" s="1"/>
  <c r="AG89" i="20"/>
  <c r="AJ89" i="20"/>
  <c r="M84" i="20"/>
  <c r="AK84" i="20"/>
  <c r="U78" i="20"/>
  <c r="AS78" i="20"/>
  <c r="AS86" i="20" s="1"/>
  <c r="U70" i="20"/>
  <c r="AM70" i="20"/>
  <c r="AS70" i="20"/>
  <c r="O53" i="20"/>
  <c r="O57" i="20" s="1"/>
  <c r="X53" i="20"/>
  <c r="X57" i="20" s="1"/>
  <c r="AD53" i="20"/>
  <c r="AD57" i="20" s="1"/>
  <c r="AJ53" i="20"/>
  <c r="AP53" i="20"/>
  <c r="AP57" i="20" s="1"/>
  <c r="AS53" i="20"/>
  <c r="AS57" i="20" s="1"/>
  <c r="AV53" i="20"/>
  <c r="AV57" i="20" s="1"/>
  <c r="S101" i="20"/>
  <c r="M101" i="20"/>
  <c r="Y101" i="20"/>
  <c r="I101" i="20"/>
  <c r="L101" i="20" s="1"/>
  <c r="BA101" i="20"/>
  <c r="M73" i="44"/>
  <c r="Y73" i="44"/>
  <c r="V73" i="44"/>
  <c r="AD22" i="47"/>
  <c r="K22" i="47"/>
  <c r="AM22" i="47"/>
  <c r="O22" i="47"/>
  <c r="AP22" i="47"/>
  <c r="R22" i="47"/>
  <c r="AS22" i="47"/>
  <c r="U22" i="47"/>
  <c r="AV22" i="47"/>
  <c r="X22" i="47"/>
  <c r="AG22" i="47"/>
  <c r="AJ22" i="47"/>
  <c r="AG117" i="20"/>
  <c r="AV106" i="20"/>
  <c r="AV108" i="20" s="1"/>
  <c r="AM103" i="20"/>
  <c r="AY88" i="20"/>
  <c r="K62" i="20"/>
  <c r="K65" i="20" s="1"/>
  <c r="C22" i="22" s="1"/>
  <c r="H29" i="20"/>
  <c r="K29" i="20"/>
  <c r="AW55" i="44"/>
  <c r="AY55" i="44"/>
  <c r="AY112" i="19"/>
  <c r="AD16" i="47"/>
  <c r="AS16" i="47"/>
  <c r="L16" i="47"/>
  <c r="O16" i="47"/>
  <c r="AV16" i="47"/>
  <c r="R16" i="47"/>
  <c r="AJ16" i="47"/>
  <c r="U16" i="47"/>
  <c r="X16" i="47"/>
  <c r="AP16" i="47"/>
  <c r="S120" i="19"/>
  <c r="AE120" i="19"/>
  <c r="AQ120" i="19"/>
  <c r="BA120" i="19"/>
  <c r="AW47" i="44"/>
  <c r="U40" i="44"/>
  <c r="U41" i="44" s="1"/>
  <c r="AA40" i="44"/>
  <c r="AA41" i="44" s="1"/>
  <c r="AM40" i="44"/>
  <c r="AM41" i="44" s="1"/>
  <c r="AS40" i="44"/>
  <c r="AS41" i="44" s="1"/>
  <c r="O96" i="19"/>
  <c r="O126" i="19" s="1"/>
  <c r="AG96" i="19"/>
  <c r="AS96" i="19"/>
  <c r="AY96" i="19"/>
  <c r="K47" i="20"/>
  <c r="AD47" i="20"/>
  <c r="AJ47" i="20"/>
  <c r="AJ50" i="20" s="1"/>
  <c r="AS47" i="20"/>
  <c r="AS50" i="20" s="1"/>
  <c r="R62" i="44"/>
  <c r="AD62" i="44"/>
  <c r="AP62" i="44"/>
  <c r="J28" i="44"/>
  <c r="J58" i="44"/>
  <c r="J63" i="44"/>
  <c r="J20" i="44"/>
  <c r="J47" i="44"/>
  <c r="L47" i="44" s="1"/>
  <c r="J65" i="44"/>
  <c r="J77" i="44"/>
  <c r="J37" i="44"/>
  <c r="J59" i="44"/>
  <c r="J85" i="44"/>
  <c r="BB85" i="44" s="1"/>
  <c r="BB86" i="44" s="1"/>
  <c r="J16" i="44"/>
  <c r="J22" i="44"/>
  <c r="J43" i="44"/>
  <c r="J50" i="44"/>
  <c r="J70" i="44"/>
  <c r="J82" i="44"/>
  <c r="M38" i="47"/>
  <c r="AE38" i="47"/>
  <c r="AN38" i="47"/>
  <c r="U27" i="47"/>
  <c r="K27" i="47"/>
  <c r="O27" i="47"/>
  <c r="P16" i="47"/>
  <c r="Y16" i="47"/>
  <c r="AQ16" i="47"/>
  <c r="AB16" i="47"/>
  <c r="AT16" i="47"/>
  <c r="M16" i="47"/>
  <c r="AE16" i="47"/>
  <c r="AH16" i="47"/>
  <c r="S16" i="47"/>
  <c r="R14" i="47"/>
  <c r="AM14" i="47"/>
  <c r="AV98" i="20"/>
  <c r="AS93" i="20"/>
  <c r="AD93" i="20"/>
  <c r="AD94" i="20" s="1"/>
  <c r="R92" i="20"/>
  <c r="R94" i="20" s="1"/>
  <c r="R64" i="20"/>
  <c r="X62" i="20"/>
  <c r="AP59" i="20"/>
  <c r="AP60" i="20" s="1"/>
  <c r="U45" i="20"/>
  <c r="U50" i="20" s="1"/>
  <c r="X45" i="20"/>
  <c r="X50" i="20" s="1"/>
  <c r="AG45" i="20"/>
  <c r="AG50" i="20" s="1"/>
  <c r="AP45" i="20"/>
  <c r="AY37" i="20"/>
  <c r="AY42" i="20" s="1"/>
  <c r="X35" i="20"/>
  <c r="X42" i="20" s="1"/>
  <c r="R31" i="20"/>
  <c r="R33" i="20" s="1"/>
  <c r="X31" i="20"/>
  <c r="AP31" i="20"/>
  <c r="AP33" i="20" s="1"/>
  <c r="AS23" i="20"/>
  <c r="AT59" i="20"/>
  <c r="F35" i="23"/>
  <c r="G45" i="20" s="1"/>
  <c r="J54" i="44"/>
  <c r="J25" i="44"/>
  <c r="L25" i="44" s="1"/>
  <c r="AT38" i="47"/>
  <c r="AN16" i="47"/>
  <c r="AY109" i="19"/>
  <c r="AW109" i="19"/>
  <c r="U107" i="19"/>
  <c r="K107" i="19"/>
  <c r="O107" i="19"/>
  <c r="AA107" i="19"/>
  <c r="AM107" i="19"/>
  <c r="Y105" i="19"/>
  <c r="AK105" i="19"/>
  <c r="BB83" i="19"/>
  <c r="U48" i="19"/>
  <c r="AG48" i="19"/>
  <c r="AS48" i="19"/>
  <c r="L93" i="20"/>
  <c r="AV92" i="20"/>
  <c r="AV94" i="20" s="1"/>
  <c r="K92" i="20"/>
  <c r="AY62" i="20"/>
  <c r="AY65" i="20" s="1"/>
  <c r="U62" i="20"/>
  <c r="U65" i="20" s="1"/>
  <c r="AG59" i="20"/>
  <c r="AG60" i="20" s="1"/>
  <c r="K59" i="20"/>
  <c r="K60" i="20" s="1"/>
  <c r="C21" i="22" s="1"/>
  <c r="O41" i="20"/>
  <c r="X41" i="20"/>
  <c r="AD41" i="20"/>
  <c r="AJ41" i="20"/>
  <c r="AP37" i="20"/>
  <c r="AP42" i="20" s="1"/>
  <c r="AW30" i="20"/>
  <c r="AJ27" i="20"/>
  <c r="AS27" i="20"/>
  <c r="K25" i="20"/>
  <c r="AM23" i="20"/>
  <c r="X22" i="20"/>
  <c r="AD22" i="20"/>
  <c r="AS22" i="20"/>
  <c r="J67" i="44"/>
  <c r="I18" i="47"/>
  <c r="L18" i="47" s="1"/>
  <c r="AH18" i="47"/>
  <c r="AN18" i="47"/>
  <c r="P18" i="47"/>
  <c r="AT18" i="47"/>
  <c r="AK16" i="47"/>
  <c r="AS15" i="47"/>
  <c r="O15" i="47"/>
  <c r="K15" i="47"/>
  <c r="X15" i="47"/>
  <c r="AM15" i="47"/>
  <c r="I121" i="19"/>
  <c r="L121" i="19" s="1"/>
  <c r="S121" i="19"/>
  <c r="AE121" i="19"/>
  <c r="AQ121" i="19"/>
  <c r="I107" i="19"/>
  <c r="L107" i="19" s="1"/>
  <c r="S107" i="19"/>
  <c r="AH107" i="19"/>
  <c r="AQ107" i="19"/>
  <c r="Y90" i="19"/>
  <c r="AK90" i="19"/>
  <c r="AE63" i="19"/>
  <c r="BA63" i="19"/>
  <c r="S63" i="19"/>
  <c r="I63" i="19"/>
  <c r="R62" i="20"/>
  <c r="U48" i="20"/>
  <c r="X48" i="20"/>
  <c r="AD48" i="20"/>
  <c r="AG37" i="20"/>
  <c r="AG42" i="20" s="1"/>
  <c r="AJ23" i="20"/>
  <c r="AJ33" i="20" s="1"/>
  <c r="AK22" i="20"/>
  <c r="AQ22" i="20"/>
  <c r="J88" i="44"/>
  <c r="AY88" i="44" s="1"/>
  <c r="AY89" i="44" s="1"/>
  <c r="J73" i="44"/>
  <c r="S67" i="44"/>
  <c r="AB31" i="47"/>
  <c r="I31" i="47"/>
  <c r="L31" i="47" s="1"/>
  <c r="Y31" i="47"/>
  <c r="AE31" i="47"/>
  <c r="AH31" i="47"/>
  <c r="BA31" i="47"/>
  <c r="M31" i="47"/>
  <c r="AK31" i="47"/>
  <c r="P31" i="47"/>
  <c r="AN31" i="47"/>
  <c r="X20" i="47"/>
  <c r="R20" i="47"/>
  <c r="AG20" i="47"/>
  <c r="AP20" i="47"/>
  <c r="AV20" i="47"/>
  <c r="P19" i="47"/>
  <c r="AH19" i="47"/>
  <c r="AN19" i="47"/>
  <c r="AW19" i="47"/>
  <c r="BA19" i="47"/>
  <c r="O109" i="19"/>
  <c r="AM109" i="19"/>
  <c r="AA109" i="19"/>
  <c r="AV78" i="19"/>
  <c r="U78" i="19"/>
  <c r="X78" i="19"/>
  <c r="AJ78" i="19"/>
  <c r="R78" i="19"/>
  <c r="AG78" i="19"/>
  <c r="O66" i="19"/>
  <c r="AY66" i="19"/>
  <c r="AM93" i="20"/>
  <c r="AM94" i="20" s="1"/>
  <c r="U93" i="20"/>
  <c r="AV62" i="20"/>
  <c r="AV65" i="20" s="1"/>
  <c r="AY59" i="20"/>
  <c r="AY60" i="20" s="1"/>
  <c r="AD59" i="20"/>
  <c r="AD60" i="20" s="1"/>
  <c r="U55" i="20"/>
  <c r="X55" i="20"/>
  <c r="R44" i="20"/>
  <c r="R50" i="20" s="1"/>
  <c r="AD44" i="20"/>
  <c r="AD50" i="20" s="1"/>
  <c r="AP44" i="20"/>
  <c r="AP50" i="20" s="1"/>
  <c r="J48" i="44"/>
  <c r="J44" i="44"/>
  <c r="J35" i="44"/>
  <c r="Y66" i="44"/>
  <c r="AK66" i="44"/>
  <c r="AM27" i="47"/>
  <c r="K17" i="47"/>
  <c r="U17" i="47"/>
  <c r="AS17" i="47"/>
  <c r="V16" i="47"/>
  <c r="AY113" i="19"/>
  <c r="BA110" i="19"/>
  <c r="M100" i="19"/>
  <c r="Y100" i="19"/>
  <c r="P100" i="19"/>
  <c r="AK100" i="19"/>
  <c r="AT100" i="19"/>
  <c r="O62" i="20"/>
  <c r="O65" i="20" s="1"/>
  <c r="AP62" i="20"/>
  <c r="AP65" i="20" s="1"/>
  <c r="R59" i="20"/>
  <c r="R60" i="20" s="1"/>
  <c r="AJ59" i="20"/>
  <c r="AJ60" i="20" s="1"/>
  <c r="AV37" i="20"/>
  <c r="AV42" i="20" s="1"/>
  <c r="U37" i="20"/>
  <c r="U42" i="20" s="1"/>
  <c r="R37" i="20"/>
  <c r="R42" i="20" s="1"/>
  <c r="O23" i="20"/>
  <c r="AV23" i="20"/>
  <c r="U23" i="20"/>
  <c r="X23" i="20"/>
  <c r="AA23" i="20"/>
  <c r="AA33" i="20" s="1"/>
  <c r="AG23" i="20"/>
  <c r="BE23" i="20"/>
  <c r="AY79" i="44"/>
  <c r="AY64" i="44"/>
  <c r="AY53" i="44"/>
  <c r="P88" i="44"/>
  <c r="AB88" i="44"/>
  <c r="S38" i="47"/>
  <c r="I25" i="47"/>
  <c r="AE25" i="47"/>
  <c r="M25" i="47"/>
  <c r="AN25" i="47"/>
  <c r="P25" i="47"/>
  <c r="AQ25" i="47"/>
  <c r="S25" i="47"/>
  <c r="AT25" i="47"/>
  <c r="AJ83" i="19"/>
  <c r="AM83" i="19"/>
  <c r="O83" i="19"/>
  <c r="R83" i="19"/>
  <c r="AA83" i="19"/>
  <c r="AD83" i="19"/>
  <c r="AS83" i="19"/>
  <c r="AV83" i="19"/>
  <c r="I79" i="19"/>
  <c r="AQ79" i="19"/>
  <c r="O70" i="19"/>
  <c r="AJ70" i="19"/>
  <c r="AV70" i="19"/>
  <c r="AD25" i="20"/>
  <c r="AS38" i="47"/>
  <c r="R38" i="47"/>
  <c r="AS34" i="47"/>
  <c r="R34" i="47"/>
  <c r="AQ33" i="47"/>
  <c r="AE17" i="47"/>
  <c r="BA17" i="47"/>
  <c r="AW14" i="47"/>
  <c r="BA14" i="47"/>
  <c r="AN122" i="19"/>
  <c r="U116" i="19"/>
  <c r="AT113" i="19"/>
  <c r="AQ110" i="19"/>
  <c r="AW107" i="19"/>
  <c r="AK102" i="19"/>
  <c r="P102" i="19"/>
  <c r="U94" i="19"/>
  <c r="AG94" i="19"/>
  <c r="X94" i="19"/>
  <c r="AY65" i="19"/>
  <c r="AS54" i="20"/>
  <c r="AS39" i="20"/>
  <c r="AJ36" i="20"/>
  <c r="AG28" i="20"/>
  <c r="U25" i="20"/>
  <c r="AV19" i="20"/>
  <c r="AV13" i="20"/>
  <c r="AY25" i="44"/>
  <c r="K38" i="47"/>
  <c r="AP34" i="47"/>
  <c r="O34" i="47"/>
  <c r="AN33" i="47"/>
  <c r="P32" i="47"/>
  <c r="AQ32" i="47"/>
  <c r="AP30" i="47"/>
  <c r="BA27" i="47"/>
  <c r="V27" i="47"/>
  <c r="AK24" i="47"/>
  <c r="U23" i="47"/>
  <c r="R19" i="47"/>
  <c r="O18" i="47"/>
  <c r="J21" i="47"/>
  <c r="J25" i="47"/>
  <c r="J28" i="47"/>
  <c r="P123" i="19"/>
  <c r="P122" i="19"/>
  <c r="K116" i="19"/>
  <c r="AQ115" i="19"/>
  <c r="U114" i="19"/>
  <c r="AN113" i="19"/>
  <c r="M110" i="19"/>
  <c r="L106" i="19"/>
  <c r="AV72" i="19"/>
  <c r="X72" i="19"/>
  <c r="AP70" i="19"/>
  <c r="AY68" i="19"/>
  <c r="AW65" i="19"/>
  <c r="R64" i="19"/>
  <c r="U64" i="19"/>
  <c r="AA64" i="19"/>
  <c r="AV64" i="19"/>
  <c r="AQ56" i="19"/>
  <c r="I50" i="19"/>
  <c r="L50" i="19" s="1"/>
  <c r="P50" i="19"/>
  <c r="AB50" i="19"/>
  <c r="AN50" i="19"/>
  <c r="AT50" i="19"/>
  <c r="M50" i="19"/>
  <c r="I21" i="19"/>
  <c r="L21" i="19" s="1"/>
  <c r="AE21" i="19"/>
  <c r="M21" i="19"/>
  <c r="AK21" i="19"/>
  <c r="S21" i="19"/>
  <c r="AQ21" i="19"/>
  <c r="P21" i="19"/>
  <c r="Y21" i="19"/>
  <c r="AB21" i="19"/>
  <c r="AH21" i="19"/>
  <c r="AN21" i="19"/>
  <c r="AT21" i="19"/>
  <c r="AD36" i="20"/>
  <c r="AD28" i="20"/>
  <c r="AP13" i="20"/>
  <c r="AP20" i="20" s="1"/>
  <c r="AM38" i="47"/>
  <c r="BA35" i="47"/>
  <c r="AE35" i="47"/>
  <c r="AM34" i="47"/>
  <c r="K34" i="47"/>
  <c r="M33" i="47"/>
  <c r="K31" i="47"/>
  <c r="AG30" i="47"/>
  <c r="S27" i="47"/>
  <c r="AE24" i="47"/>
  <c r="O23" i="47"/>
  <c r="AY19" i="47"/>
  <c r="AM19" i="47"/>
  <c r="O19" i="47"/>
  <c r="AM18" i="47"/>
  <c r="AQ17" i="47"/>
  <c r="S17" i="47"/>
  <c r="AW124" i="19"/>
  <c r="AY123" i="19"/>
  <c r="I122" i="19"/>
  <c r="L122" i="19" s="1"/>
  <c r="M117" i="19"/>
  <c r="AK117" i="19"/>
  <c r="P117" i="19"/>
  <c r="AN117" i="19"/>
  <c r="S117" i="19"/>
  <c r="AE117" i="19"/>
  <c r="I98" i="19"/>
  <c r="L98" i="19" s="1"/>
  <c r="AE98" i="19"/>
  <c r="AH98" i="19"/>
  <c r="AK98" i="19"/>
  <c r="Y98" i="19"/>
  <c r="AW90" i="19"/>
  <c r="AK80" i="19"/>
  <c r="P74" i="19"/>
  <c r="AD70" i="19"/>
  <c r="U67" i="19"/>
  <c r="AG67" i="19"/>
  <c r="AS67" i="19"/>
  <c r="P64" i="19"/>
  <c r="AH64" i="19"/>
  <c r="AT64" i="19"/>
  <c r="AK64" i="19"/>
  <c r="U18" i="47"/>
  <c r="AS18" i="47"/>
  <c r="AS116" i="19"/>
  <c r="AY116" i="19"/>
  <c r="AS114" i="19"/>
  <c r="AG114" i="19"/>
  <c r="M113" i="19"/>
  <c r="I113" i="19"/>
  <c r="L113" i="19" s="1"/>
  <c r="P113" i="19"/>
  <c r="AE113" i="19"/>
  <c r="Y110" i="19"/>
  <c r="AE110" i="19"/>
  <c r="AK110" i="19"/>
  <c r="S110" i="19"/>
  <c r="M106" i="19"/>
  <c r="AH106" i="19"/>
  <c r="I106" i="19"/>
  <c r="AS98" i="19"/>
  <c r="U98" i="19"/>
  <c r="AW93" i="19"/>
  <c r="AD75" i="19"/>
  <c r="AP75" i="19"/>
  <c r="K65" i="19"/>
  <c r="AG65" i="19"/>
  <c r="AS65" i="19"/>
  <c r="P58" i="19"/>
  <c r="M58" i="19"/>
  <c r="M56" i="19"/>
  <c r="BA56" i="19"/>
  <c r="AH56" i="19"/>
  <c r="I56" i="19"/>
  <c r="L56" i="19" s="1"/>
  <c r="V56" i="19"/>
  <c r="AN56" i="19"/>
  <c r="AA34" i="19"/>
  <c r="AP34" i="19"/>
  <c r="AV28" i="20"/>
  <c r="J19" i="44"/>
  <c r="AG34" i="47"/>
  <c r="AE33" i="47"/>
  <c r="X30" i="47"/>
  <c r="AQ27" i="47"/>
  <c r="P24" i="47"/>
  <c r="AG18" i="47"/>
  <c r="AK17" i="47"/>
  <c r="M17" i="47"/>
  <c r="M115" i="19"/>
  <c r="S115" i="19"/>
  <c r="Y115" i="19"/>
  <c r="P115" i="19"/>
  <c r="I111" i="19"/>
  <c r="L111" i="19" s="1"/>
  <c r="P111" i="19"/>
  <c r="AG95" i="19"/>
  <c r="AV94" i="19"/>
  <c r="AV126" i="19" s="1"/>
  <c r="K71" i="19"/>
  <c r="AG71" i="19"/>
  <c r="V65" i="19"/>
  <c r="BA65" i="19"/>
  <c r="AH65" i="19"/>
  <c r="AT65" i="19"/>
  <c r="M65" i="19"/>
  <c r="AS58" i="19"/>
  <c r="AM58" i="19"/>
  <c r="K58" i="19"/>
  <c r="AA58" i="19"/>
  <c r="X56" i="19"/>
  <c r="AS56" i="19"/>
  <c r="U46" i="19"/>
  <c r="K46" i="19"/>
  <c r="AG46" i="19"/>
  <c r="S36" i="19"/>
  <c r="AH36" i="19"/>
  <c r="BA36" i="19"/>
  <c r="AG27" i="19"/>
  <c r="AS27" i="19"/>
  <c r="K27" i="19"/>
  <c r="S108" i="19"/>
  <c r="AQ108" i="19"/>
  <c r="V108" i="19"/>
  <c r="AT108" i="19"/>
  <c r="Y108" i="19"/>
  <c r="AH96" i="19"/>
  <c r="M96" i="19"/>
  <c r="AK96" i="19"/>
  <c r="S96" i="19"/>
  <c r="AQ96" i="19"/>
  <c r="M67" i="19"/>
  <c r="AH67" i="19"/>
  <c r="V67" i="19"/>
  <c r="AB67" i="19"/>
  <c r="AG52" i="19"/>
  <c r="AS52" i="19"/>
  <c r="O52" i="19"/>
  <c r="AJ52" i="19"/>
  <c r="K37" i="19"/>
  <c r="AJ37" i="19"/>
  <c r="R37" i="19"/>
  <c r="AP37" i="19"/>
  <c r="X37" i="19"/>
  <c r="AV37" i="19"/>
  <c r="O37" i="19"/>
  <c r="AD37" i="19"/>
  <c r="AG37" i="19"/>
  <c r="R33" i="19"/>
  <c r="X33" i="19"/>
  <c r="AG33" i="19"/>
  <c r="AV33" i="19"/>
  <c r="AY33" i="19"/>
  <c r="AW29" i="19"/>
  <c r="U27" i="19"/>
  <c r="AW31" i="47"/>
  <c r="AY121" i="19"/>
  <c r="Y118" i="19"/>
  <c r="AB118" i="19"/>
  <c r="BA118" i="19"/>
  <c r="I109" i="19"/>
  <c r="L109" i="19" s="1"/>
  <c r="AE109" i="19"/>
  <c r="M109" i="19"/>
  <c r="AH109" i="19"/>
  <c r="AK109" i="19"/>
  <c r="AH108" i="19"/>
  <c r="AG101" i="19"/>
  <c r="U101" i="19"/>
  <c r="AP101" i="19"/>
  <c r="AS101" i="19"/>
  <c r="AM99" i="19"/>
  <c r="AM126" i="19" s="1"/>
  <c r="AP99" i="19"/>
  <c r="AP126" i="19" s="1"/>
  <c r="AS99" i="19"/>
  <c r="Y96" i="19"/>
  <c r="AE83" i="19"/>
  <c r="I83" i="19"/>
  <c r="L83" i="19" s="1"/>
  <c r="AQ83" i="19"/>
  <c r="L77" i="19"/>
  <c r="R77" i="19"/>
  <c r="U77" i="19"/>
  <c r="AS77" i="19"/>
  <c r="X77" i="19"/>
  <c r="AW74" i="19"/>
  <c r="AP55" i="19"/>
  <c r="O55" i="19"/>
  <c r="AE53" i="19"/>
  <c r="M53" i="19"/>
  <c r="BA53" i="19"/>
  <c r="AY37" i="19"/>
  <c r="P34" i="19"/>
  <c r="AT34" i="19"/>
  <c r="AE34" i="19"/>
  <c r="K21" i="29"/>
  <c r="W21" i="29"/>
  <c r="G21" i="29"/>
  <c r="O21" i="29"/>
  <c r="I21" i="29"/>
  <c r="M21" i="29"/>
  <c r="Q21" i="29"/>
  <c r="S21" i="29"/>
  <c r="X29" i="19"/>
  <c r="P24" i="19"/>
  <c r="AN24" i="19"/>
  <c r="AH20" i="28"/>
  <c r="AT112" i="19"/>
  <c r="P112" i="19"/>
  <c r="BA69" i="19"/>
  <c r="S69" i="19"/>
  <c r="AV68" i="19"/>
  <c r="K68" i="19"/>
  <c r="V61" i="19"/>
  <c r="BA61" i="19"/>
  <c r="S61" i="19"/>
  <c r="Y55" i="19"/>
  <c r="P54" i="19"/>
  <c r="AN54" i="19"/>
  <c r="Y54" i="19"/>
  <c r="AT54" i="19"/>
  <c r="AQ47" i="19"/>
  <c r="K41" i="19"/>
  <c r="O40" i="19"/>
  <c r="X40" i="19"/>
  <c r="U29" i="19"/>
  <c r="AN25" i="19"/>
  <c r="J22" i="19"/>
  <c r="J28" i="19"/>
  <c r="J53" i="19"/>
  <c r="AY53" i="19" s="1"/>
  <c r="J63" i="19"/>
  <c r="J31" i="19"/>
  <c r="BB31" i="19" s="1"/>
  <c r="J36" i="19"/>
  <c r="J42" i="19"/>
  <c r="J44" i="19"/>
  <c r="AB20" i="28"/>
  <c r="AQ112" i="19"/>
  <c r="I66" i="19"/>
  <c r="L66" i="19" s="1"/>
  <c r="AN66" i="19"/>
  <c r="S66" i="19"/>
  <c r="Y66" i="19"/>
  <c r="BA66" i="19"/>
  <c r="AY58" i="19"/>
  <c r="AJ54" i="19"/>
  <c r="U54" i="19"/>
  <c r="I49" i="19"/>
  <c r="L49" i="19" s="1"/>
  <c r="AQ49" i="19"/>
  <c r="S49" i="19"/>
  <c r="Y49" i="19"/>
  <c r="O47" i="19"/>
  <c r="AJ47" i="19"/>
  <c r="O45" i="19"/>
  <c r="AY36" i="19"/>
  <c r="AW34" i="19"/>
  <c r="BA15" i="19"/>
  <c r="V20" i="28"/>
  <c r="J16" i="28"/>
  <c r="BB16" i="28" s="1"/>
  <c r="AW76" i="19"/>
  <c r="AW63" i="19"/>
  <c r="S47" i="19"/>
  <c r="AN47" i="19"/>
  <c r="I47" i="19"/>
  <c r="L47" i="19" s="1"/>
  <c r="Y47" i="19"/>
  <c r="AT47" i="19"/>
  <c r="I41" i="19"/>
  <c r="L41" i="19" s="1"/>
  <c r="AQ41" i="19"/>
  <c r="S41" i="19"/>
  <c r="AG29" i="19"/>
  <c r="K29" i="19"/>
  <c r="AP29" i="19"/>
  <c r="R29" i="19"/>
  <c r="AV29" i="19"/>
  <c r="AB25" i="19"/>
  <c r="AH25" i="19"/>
  <c r="I39" i="19"/>
  <c r="L39" i="19" s="1"/>
  <c r="AK39" i="19"/>
  <c r="AH19" i="19"/>
  <c r="AE19" i="19"/>
  <c r="AE20" i="28"/>
  <c r="BA20" i="28"/>
  <c r="M20" i="28"/>
  <c r="AK20" i="28"/>
  <c r="P20" i="28"/>
  <c r="AQ20" i="28"/>
  <c r="AW64" i="19"/>
  <c r="I48" i="19"/>
  <c r="L48" i="19" s="1"/>
  <c r="AN38" i="19"/>
  <c r="P35" i="19"/>
  <c r="AE16" i="19"/>
  <c r="AQ15" i="19"/>
  <c r="S15" i="19"/>
  <c r="G32" i="53"/>
  <c r="AK15" i="19"/>
  <c r="K126" i="19"/>
  <c r="U76" i="20"/>
  <c r="AY94" i="20"/>
  <c r="X65" i="20"/>
  <c r="AY43" i="19"/>
  <c r="AW43" i="19"/>
  <c r="E20" i="54" l="1"/>
  <c r="G20" i="54"/>
  <c r="I20" i="54"/>
  <c r="G19" i="54"/>
  <c r="I19" i="54"/>
  <c r="C16" i="8"/>
  <c r="C18" i="54"/>
  <c r="G16" i="54"/>
  <c r="E16" i="54"/>
  <c r="I16" i="54"/>
  <c r="G33" i="53"/>
  <c r="F16" i="52" s="1"/>
  <c r="Q32" i="22"/>
  <c r="G32" i="22"/>
  <c r="S32" i="22"/>
  <c r="W32" i="22"/>
  <c r="Y32" i="22"/>
  <c r="M32" i="22"/>
  <c r="AA32" i="22"/>
  <c r="O32" i="22"/>
  <c r="I32" i="22"/>
  <c r="E32" i="22"/>
  <c r="U32" i="22"/>
  <c r="K32" i="22"/>
  <c r="BB53" i="19"/>
  <c r="AZ53" i="19"/>
  <c r="U28" i="47"/>
  <c r="AS28" i="47"/>
  <c r="R28" i="47"/>
  <c r="AD28" i="47"/>
  <c r="X28" i="47"/>
  <c r="AP28" i="47"/>
  <c r="AJ28" i="47"/>
  <c r="K28" i="47"/>
  <c r="AY28" i="47"/>
  <c r="AA28" i="47"/>
  <c r="L28" i="47"/>
  <c r="BB28" i="47"/>
  <c r="AV28" i="47"/>
  <c r="O28" i="47"/>
  <c r="AG28" i="47"/>
  <c r="AM28" i="47"/>
  <c r="AJ48" i="44"/>
  <c r="K48" i="44"/>
  <c r="AV48" i="44"/>
  <c r="AG48" i="44"/>
  <c r="O48" i="44"/>
  <c r="AS48" i="44"/>
  <c r="AA48" i="44"/>
  <c r="U48" i="44"/>
  <c r="L48" i="44"/>
  <c r="L51" i="44" s="1"/>
  <c r="AD48" i="44"/>
  <c r="X48" i="44"/>
  <c r="BB48" i="44"/>
  <c r="AM48" i="44"/>
  <c r="R48" i="44"/>
  <c r="AP48" i="44"/>
  <c r="AV67" i="44"/>
  <c r="AP67" i="44"/>
  <c r="L67" i="44"/>
  <c r="X67" i="44"/>
  <c r="K67" i="44"/>
  <c r="R67" i="44"/>
  <c r="AM67" i="44"/>
  <c r="AS67" i="44"/>
  <c r="AY67" i="44"/>
  <c r="AG67" i="44"/>
  <c r="AD67" i="44"/>
  <c r="O67" i="44"/>
  <c r="AA67" i="44"/>
  <c r="AJ67" i="44"/>
  <c r="U67" i="44"/>
  <c r="BB67" i="44"/>
  <c r="O33" i="20"/>
  <c r="X58" i="44"/>
  <c r="AY58" i="44"/>
  <c r="AP58" i="44"/>
  <c r="AP60" i="44" s="1"/>
  <c r="AV58" i="44"/>
  <c r="AD58" i="44"/>
  <c r="AM58" i="44"/>
  <c r="AA58" i="44"/>
  <c r="U58" i="44"/>
  <c r="AS58" i="44"/>
  <c r="AJ58" i="44"/>
  <c r="O58" i="44"/>
  <c r="O60" i="44" s="1"/>
  <c r="R58" i="44"/>
  <c r="AG58" i="44"/>
  <c r="L58" i="44"/>
  <c r="K58" i="44"/>
  <c r="AV104" i="20"/>
  <c r="AV20" i="20"/>
  <c r="AV147" i="20"/>
  <c r="E19" i="40" s="1"/>
  <c r="X119" i="20"/>
  <c r="AZ79" i="20"/>
  <c r="BB79" i="20"/>
  <c r="R128" i="20"/>
  <c r="BB62" i="20"/>
  <c r="BB65" i="20" s="1"/>
  <c r="AZ62" i="20"/>
  <c r="M62" i="44"/>
  <c r="AK62" i="44"/>
  <c r="AN62" i="44"/>
  <c r="AT62" i="44"/>
  <c r="I62" i="44"/>
  <c r="L62" i="44" s="1"/>
  <c r="S62" i="44"/>
  <c r="AE62" i="44"/>
  <c r="P62" i="44"/>
  <c r="V62" i="44"/>
  <c r="Y62" i="44"/>
  <c r="AB62" i="44"/>
  <c r="AQ62" i="44"/>
  <c r="BA62" i="44"/>
  <c r="AH62" i="44"/>
  <c r="AW62" i="44"/>
  <c r="AZ36" i="44"/>
  <c r="BB36" i="44"/>
  <c r="O24" i="22"/>
  <c r="Q24" i="22"/>
  <c r="W24" i="22"/>
  <c r="I24" i="22"/>
  <c r="U24" i="22"/>
  <c r="G24" i="22"/>
  <c r="Y24" i="22"/>
  <c r="E24" i="22"/>
  <c r="K24" i="22"/>
  <c r="AA24" i="22"/>
  <c r="M24" i="22"/>
  <c r="S24" i="22"/>
  <c r="BB20" i="20"/>
  <c r="AS22" i="19"/>
  <c r="AP22" i="19"/>
  <c r="AJ22" i="19"/>
  <c r="AJ81" i="19" s="1"/>
  <c r="O22" i="19"/>
  <c r="AA22" i="19"/>
  <c r="AM22" i="19"/>
  <c r="AM81" i="19" s="1"/>
  <c r="AV22" i="19"/>
  <c r="AV81" i="19" s="1"/>
  <c r="X22" i="19"/>
  <c r="AY22" i="19"/>
  <c r="BB22" i="19"/>
  <c r="K22" i="19"/>
  <c r="K81" i="19" s="1"/>
  <c r="C16" i="14" s="1"/>
  <c r="AD22" i="19"/>
  <c r="AG22" i="19"/>
  <c r="AG81" i="19" s="1"/>
  <c r="AG127" i="19" s="1"/>
  <c r="E22" i="35" s="1"/>
  <c r="R22" i="19"/>
  <c r="R81" i="19" s="1"/>
  <c r="R127" i="19" s="1"/>
  <c r="E22" i="30" s="1"/>
  <c r="U22" i="19"/>
  <c r="AP19" i="44"/>
  <c r="AM19" i="44"/>
  <c r="AD19" i="44"/>
  <c r="AA19" i="44"/>
  <c r="BB19" i="44"/>
  <c r="AV19" i="44"/>
  <c r="U19" i="44"/>
  <c r="AJ19" i="44"/>
  <c r="L19" i="44"/>
  <c r="AS19" i="44"/>
  <c r="O19" i="44"/>
  <c r="R19" i="44"/>
  <c r="X19" i="44"/>
  <c r="AY19" i="44"/>
  <c r="K19" i="44"/>
  <c r="AG19" i="44"/>
  <c r="AZ56" i="19"/>
  <c r="BB56" i="19"/>
  <c r="AG21" i="47"/>
  <c r="K21" i="47"/>
  <c r="K39" i="47" s="1"/>
  <c r="AM21" i="47"/>
  <c r="O21" i="47"/>
  <c r="AP21" i="47"/>
  <c r="R21" i="47"/>
  <c r="AS21" i="47"/>
  <c r="AS40" i="47" s="1"/>
  <c r="U21" i="47"/>
  <c r="AV21" i="47"/>
  <c r="AV40" i="47" s="1"/>
  <c r="X21" i="47"/>
  <c r="X39" i="47" s="1"/>
  <c r="AA21" i="47"/>
  <c r="AD21" i="47"/>
  <c r="AJ21" i="47"/>
  <c r="AY21" i="47"/>
  <c r="L21" i="47"/>
  <c r="BB21" i="47"/>
  <c r="AD33" i="20"/>
  <c r="AD147" i="20"/>
  <c r="E19" i="34" s="1"/>
  <c r="R39" i="47"/>
  <c r="R40" i="47"/>
  <c r="X82" i="44"/>
  <c r="X83" i="44" s="1"/>
  <c r="AP82" i="44"/>
  <c r="AP83" i="44" s="1"/>
  <c r="AD82" i="44"/>
  <c r="AD83" i="44" s="1"/>
  <c r="AS82" i="44"/>
  <c r="AS83" i="44" s="1"/>
  <c r="AM82" i="44"/>
  <c r="AM83" i="44" s="1"/>
  <c r="K82" i="44"/>
  <c r="K83" i="44" s="1"/>
  <c r="C29" i="43" s="1"/>
  <c r="AV82" i="44"/>
  <c r="AV83" i="44" s="1"/>
  <c r="AJ82" i="44"/>
  <c r="AJ83" i="44" s="1"/>
  <c r="AG82" i="44"/>
  <c r="AG83" i="44" s="1"/>
  <c r="R82" i="44"/>
  <c r="R83" i="44" s="1"/>
  <c r="O82" i="44"/>
  <c r="O83" i="44" s="1"/>
  <c r="AA82" i="44"/>
  <c r="AA83" i="44" s="1"/>
  <c r="L82" i="44"/>
  <c r="L83" i="44" s="1"/>
  <c r="BB82" i="44"/>
  <c r="BB83" i="44" s="1"/>
  <c r="U82" i="44"/>
  <c r="U83" i="44" s="1"/>
  <c r="U37" i="44"/>
  <c r="AY37" i="44"/>
  <c r="R37" i="44"/>
  <c r="AD37" i="44"/>
  <c r="X37" i="44"/>
  <c r="AP37" i="44"/>
  <c r="AJ37" i="44"/>
  <c r="AA37" i="44"/>
  <c r="AV37" i="44"/>
  <c r="L37" i="44"/>
  <c r="O37" i="44"/>
  <c r="AG37" i="44"/>
  <c r="AM37" i="44"/>
  <c r="K37" i="44"/>
  <c r="AS37" i="44"/>
  <c r="AS126" i="19"/>
  <c r="AZ120" i="19"/>
  <c r="BB120" i="19"/>
  <c r="AZ101" i="20"/>
  <c r="BB101" i="20"/>
  <c r="U86" i="20"/>
  <c r="AS94" i="20"/>
  <c r="BB131" i="20"/>
  <c r="AZ131" i="20"/>
  <c r="R139" i="20"/>
  <c r="AV86" i="20"/>
  <c r="X128" i="20"/>
  <c r="AJ104" i="20"/>
  <c r="BB121" i="20"/>
  <c r="BB128" i="20" s="1"/>
  <c r="AZ121" i="20"/>
  <c r="AZ132" i="20"/>
  <c r="BB132" i="20"/>
  <c r="BB20" i="44"/>
  <c r="AZ20" i="44"/>
  <c r="AD76" i="20"/>
  <c r="AG44" i="19"/>
  <c r="AV44" i="19"/>
  <c r="AJ44" i="19"/>
  <c r="O44" i="19"/>
  <c r="AM44" i="19"/>
  <c r="AA44" i="19"/>
  <c r="BB44" i="19"/>
  <c r="L44" i="19"/>
  <c r="U44" i="19"/>
  <c r="R44" i="19"/>
  <c r="AD44" i="19"/>
  <c r="AP44" i="19"/>
  <c r="K44" i="19"/>
  <c r="AY44" i="19"/>
  <c r="X44" i="19"/>
  <c r="AS44" i="19"/>
  <c r="X126" i="19"/>
  <c r="AG33" i="20"/>
  <c r="AY48" i="44"/>
  <c r="X33" i="20"/>
  <c r="X147" i="20" s="1"/>
  <c r="E19" i="32" s="1"/>
  <c r="AS70" i="44"/>
  <c r="AS71" i="44" s="1"/>
  <c r="O70" i="44"/>
  <c r="O71" i="44" s="1"/>
  <c r="X70" i="44"/>
  <c r="X71" i="44" s="1"/>
  <c r="AV70" i="44"/>
  <c r="AV71" i="44" s="1"/>
  <c r="AG70" i="44"/>
  <c r="AG71" i="44" s="1"/>
  <c r="L70" i="44"/>
  <c r="L71" i="44" s="1"/>
  <c r="R70" i="44"/>
  <c r="R71" i="44" s="1"/>
  <c r="K70" i="44"/>
  <c r="K71" i="44" s="1"/>
  <c r="C26" i="43" s="1"/>
  <c r="U70" i="44"/>
  <c r="U71" i="44" s="1"/>
  <c r="AP70" i="44"/>
  <c r="AP71" i="44" s="1"/>
  <c r="BB70" i="44"/>
  <c r="BB71" i="44" s="1"/>
  <c r="AA70" i="44"/>
  <c r="AA71" i="44" s="1"/>
  <c r="AY70" i="44"/>
  <c r="AY71" i="44" s="1"/>
  <c r="AJ70" i="44"/>
  <c r="AJ71" i="44" s="1"/>
  <c r="AM70" i="44"/>
  <c r="AM71" i="44" s="1"/>
  <c r="AD70" i="44"/>
  <c r="AD71" i="44" s="1"/>
  <c r="U77" i="44"/>
  <c r="U80" i="44" s="1"/>
  <c r="AY77" i="44"/>
  <c r="AY80" i="44" s="1"/>
  <c r="AJ77" i="44"/>
  <c r="AJ80" i="44" s="1"/>
  <c r="X77" i="44"/>
  <c r="X80" i="44" s="1"/>
  <c r="AP77" i="44"/>
  <c r="AP80" i="44" s="1"/>
  <c r="AD77" i="44"/>
  <c r="AD80" i="44" s="1"/>
  <c r="O77" i="44"/>
  <c r="O80" i="44" s="1"/>
  <c r="AS77" i="44"/>
  <c r="AS80" i="44" s="1"/>
  <c r="AA77" i="44"/>
  <c r="AA80" i="44" s="1"/>
  <c r="AM77" i="44"/>
  <c r="AM80" i="44" s="1"/>
  <c r="AV77" i="44"/>
  <c r="AV80" i="44" s="1"/>
  <c r="R77" i="44"/>
  <c r="R80" i="44" s="1"/>
  <c r="AG77" i="44"/>
  <c r="AG80" i="44" s="1"/>
  <c r="L77" i="44"/>
  <c r="K77" i="44"/>
  <c r="AV39" i="47"/>
  <c r="U119" i="20"/>
  <c r="BB85" i="20"/>
  <c r="AZ85" i="20"/>
  <c r="AM86" i="20"/>
  <c r="AA128" i="20"/>
  <c r="AA147" i="20" s="1"/>
  <c r="E19" i="33" s="1"/>
  <c r="K139" i="20"/>
  <c r="C31" i="22" s="1"/>
  <c r="AK23" i="20"/>
  <c r="V23" i="20"/>
  <c r="AQ23" i="20"/>
  <c r="AE23" i="20"/>
  <c r="AN23" i="20"/>
  <c r="AT23" i="20"/>
  <c r="AH23" i="20"/>
  <c r="AW23" i="20"/>
  <c r="S23" i="20"/>
  <c r="Y23" i="20"/>
  <c r="AB23" i="20"/>
  <c r="P23" i="20"/>
  <c r="M23" i="20"/>
  <c r="BA23" i="20"/>
  <c r="I23" i="20"/>
  <c r="L23" i="20" s="1"/>
  <c r="L33" i="20" s="1"/>
  <c r="L119" i="20"/>
  <c r="AT55" i="20"/>
  <c r="AH55" i="20"/>
  <c r="AW55" i="20"/>
  <c r="AE55" i="20"/>
  <c r="M55" i="20"/>
  <c r="AB55" i="20"/>
  <c r="BA55" i="20"/>
  <c r="V55" i="20"/>
  <c r="P55" i="20"/>
  <c r="AK55" i="20"/>
  <c r="S55" i="20"/>
  <c r="AQ55" i="20"/>
  <c r="AN55" i="20"/>
  <c r="I55" i="20"/>
  <c r="L55" i="20" s="1"/>
  <c r="L57" i="20" s="1"/>
  <c r="Y55" i="20"/>
  <c r="I40" i="20"/>
  <c r="L40" i="20" s="1"/>
  <c r="AK40" i="20"/>
  <c r="AB40" i="20"/>
  <c r="S40" i="20"/>
  <c r="AT40" i="20"/>
  <c r="AE40" i="20"/>
  <c r="P40" i="20"/>
  <c r="AQ40" i="20"/>
  <c r="AH40" i="20"/>
  <c r="BA40" i="20"/>
  <c r="AN40" i="20"/>
  <c r="M40" i="20"/>
  <c r="V40" i="20"/>
  <c r="Y40" i="20"/>
  <c r="AW40" i="20"/>
  <c r="AG147" i="20"/>
  <c r="E19" i="35" s="1"/>
  <c r="J27" i="29"/>
  <c r="L27" i="29" s="1"/>
  <c r="N27" i="29" s="1"/>
  <c r="P27" i="29" s="1"/>
  <c r="R27" i="29" s="1"/>
  <c r="T27" i="29" s="1"/>
  <c r="V27" i="29" s="1"/>
  <c r="X27" i="29" s="1"/>
  <c r="Z27" i="29" s="1"/>
  <c r="AB27" i="29" s="1"/>
  <c r="AW76" i="44"/>
  <c r="P76" i="44"/>
  <c r="BA76" i="44"/>
  <c r="AH76" i="44"/>
  <c r="Y76" i="44"/>
  <c r="S76" i="44"/>
  <c r="AN76" i="44"/>
  <c r="AK76" i="44"/>
  <c r="M76" i="44"/>
  <c r="V76" i="44"/>
  <c r="AB76" i="44"/>
  <c r="AE76" i="44"/>
  <c r="AT76" i="44"/>
  <c r="AQ76" i="44"/>
  <c r="I76" i="44"/>
  <c r="L76" i="44" s="1"/>
  <c r="L80" i="44" s="1"/>
  <c r="U85" i="44"/>
  <c r="U86" i="44" s="1"/>
  <c r="X85" i="44"/>
  <c r="X86" i="44" s="1"/>
  <c r="AS85" i="44"/>
  <c r="AS86" i="44" s="1"/>
  <c r="AV85" i="44"/>
  <c r="AV86" i="44" s="1"/>
  <c r="AD85" i="44"/>
  <c r="AD86" i="44" s="1"/>
  <c r="O85" i="44"/>
  <c r="O86" i="44" s="1"/>
  <c r="R85" i="44"/>
  <c r="R86" i="44" s="1"/>
  <c r="AG85" i="44"/>
  <c r="AG86" i="44" s="1"/>
  <c r="AJ85" i="44"/>
  <c r="AJ86" i="44" s="1"/>
  <c r="AP85" i="44"/>
  <c r="AP86" i="44" s="1"/>
  <c r="AA85" i="44"/>
  <c r="AA86" i="44" s="1"/>
  <c r="L85" i="44"/>
  <c r="L86" i="44" s="1"/>
  <c r="AM85" i="44"/>
  <c r="AM86" i="44" s="1"/>
  <c r="AY85" i="44"/>
  <c r="AY86" i="44" s="1"/>
  <c r="K85" i="44"/>
  <c r="K86" i="44" s="1"/>
  <c r="C30" i="43" s="1"/>
  <c r="AJ28" i="19"/>
  <c r="K28" i="19"/>
  <c r="AS28" i="19"/>
  <c r="AS81" i="19" s="1"/>
  <c r="U28" i="19"/>
  <c r="U81" i="19" s="1"/>
  <c r="R28" i="19"/>
  <c r="AY28" i="19"/>
  <c r="AD28" i="19"/>
  <c r="AD81" i="19" s="1"/>
  <c r="AG28" i="19"/>
  <c r="AP28" i="19"/>
  <c r="AV28" i="19"/>
  <c r="X28" i="19"/>
  <c r="O28" i="19"/>
  <c r="O81" i="19" s="1"/>
  <c r="L28" i="19"/>
  <c r="BB28" i="19"/>
  <c r="AM28" i="19"/>
  <c r="AA28" i="19"/>
  <c r="AS33" i="20"/>
  <c r="AS147" i="20" s="1"/>
  <c r="E19" i="39" s="1"/>
  <c r="R28" i="44"/>
  <c r="AM28" i="44"/>
  <c r="L28" i="44"/>
  <c r="L31" i="44" s="1"/>
  <c r="AP28" i="44"/>
  <c r="U28" i="44"/>
  <c r="O28" i="44"/>
  <c r="X28" i="44"/>
  <c r="K28" i="44"/>
  <c r="AG28" i="44"/>
  <c r="BB28" i="44"/>
  <c r="AS28" i="44"/>
  <c r="AJ28" i="44"/>
  <c r="AV28" i="44"/>
  <c r="AD28" i="44"/>
  <c r="AY28" i="44"/>
  <c r="AA28" i="44"/>
  <c r="AZ115" i="20"/>
  <c r="BB115" i="20"/>
  <c r="K76" i="20"/>
  <c r="C23" i="22" s="1"/>
  <c r="AG126" i="19"/>
  <c r="AS65" i="44"/>
  <c r="AV65" i="44"/>
  <c r="X65" i="44"/>
  <c r="R65" i="44"/>
  <c r="U65" i="44"/>
  <c r="AD65" i="44"/>
  <c r="AG65" i="44"/>
  <c r="AJ65" i="44"/>
  <c r="AM65" i="44"/>
  <c r="AA65" i="44"/>
  <c r="O65" i="44"/>
  <c r="K65" i="44"/>
  <c r="AP65" i="44"/>
  <c r="AY65" i="44"/>
  <c r="L65" i="44"/>
  <c r="BB65" i="44"/>
  <c r="AD119" i="20"/>
  <c r="AZ117" i="20"/>
  <c r="BB117" i="20"/>
  <c r="AY139" i="20"/>
  <c r="BB37" i="44"/>
  <c r="AZ37" i="44"/>
  <c r="P79" i="44"/>
  <c r="AE79" i="44"/>
  <c r="S79" i="44"/>
  <c r="AQ79" i="44"/>
  <c r="AH79" i="44"/>
  <c r="M79" i="44"/>
  <c r="AK79" i="44"/>
  <c r="AW79" i="44"/>
  <c r="AN79" i="44"/>
  <c r="AT79" i="44"/>
  <c r="V79" i="44"/>
  <c r="Y79" i="44"/>
  <c r="BA79" i="44"/>
  <c r="I79" i="44"/>
  <c r="L79" i="44" s="1"/>
  <c r="AB79" i="44"/>
  <c r="K80" i="44"/>
  <c r="O20" i="22"/>
  <c r="W20" i="22"/>
  <c r="Q20" i="22"/>
  <c r="I20" i="22"/>
  <c r="G20" i="22"/>
  <c r="E20" i="22"/>
  <c r="M20" i="22"/>
  <c r="S20" i="22"/>
  <c r="K20" i="22"/>
  <c r="U20" i="22"/>
  <c r="AA20" i="22"/>
  <c r="Y20" i="22"/>
  <c r="AJ53" i="19"/>
  <c r="U53" i="19"/>
  <c r="AP53" i="19"/>
  <c r="X53" i="19"/>
  <c r="AA53" i="19"/>
  <c r="AD53" i="19"/>
  <c r="AS53" i="19"/>
  <c r="R53" i="19"/>
  <c r="K53" i="19"/>
  <c r="AV53" i="19"/>
  <c r="AM53" i="19"/>
  <c r="AG53" i="19"/>
  <c r="O53" i="19"/>
  <c r="L53" i="19"/>
  <c r="AY31" i="44"/>
  <c r="O40" i="47"/>
  <c r="O39" i="47"/>
  <c r="U39" i="47"/>
  <c r="U40" i="47"/>
  <c r="L25" i="47"/>
  <c r="AG25" i="47"/>
  <c r="AJ25" i="47"/>
  <c r="O25" i="47"/>
  <c r="AA25" i="47"/>
  <c r="AD25" i="47"/>
  <c r="AY25" i="47"/>
  <c r="BB25" i="47"/>
  <c r="AS25" i="47"/>
  <c r="AM25" i="47"/>
  <c r="AV25" i="47"/>
  <c r="X25" i="47"/>
  <c r="AP25" i="47"/>
  <c r="R25" i="47"/>
  <c r="U25" i="47"/>
  <c r="K25" i="47"/>
  <c r="BB63" i="19"/>
  <c r="AZ63" i="19"/>
  <c r="AM40" i="47"/>
  <c r="AM39" i="47"/>
  <c r="R59" i="44"/>
  <c r="AS59" i="44"/>
  <c r="X59" i="44"/>
  <c r="AD59" i="44"/>
  <c r="AP59" i="44"/>
  <c r="AJ59" i="44"/>
  <c r="AA59" i="44"/>
  <c r="AM59" i="44"/>
  <c r="U59" i="44"/>
  <c r="AV59" i="44"/>
  <c r="AG59" i="44"/>
  <c r="O59" i="44"/>
  <c r="AY59" i="44"/>
  <c r="L59" i="44"/>
  <c r="K59" i="44"/>
  <c r="BB59" i="44"/>
  <c r="AJ39" i="47"/>
  <c r="AJ40" i="47"/>
  <c r="AM104" i="20"/>
  <c r="O42" i="19"/>
  <c r="AP42" i="19"/>
  <c r="X42" i="19"/>
  <c r="AV42" i="19"/>
  <c r="AD42" i="19"/>
  <c r="AJ42" i="19"/>
  <c r="K42" i="19"/>
  <c r="AS42" i="19"/>
  <c r="R42" i="19"/>
  <c r="U42" i="19"/>
  <c r="AG42" i="19"/>
  <c r="AA42" i="19"/>
  <c r="AM42" i="19"/>
  <c r="AY42" i="19"/>
  <c r="L42" i="19"/>
  <c r="BB42" i="19"/>
  <c r="BB69" i="19"/>
  <c r="AZ69" i="19"/>
  <c r="AG40" i="47"/>
  <c r="X50" i="44"/>
  <c r="AJ50" i="44"/>
  <c r="AV50" i="44"/>
  <c r="AY50" i="44"/>
  <c r="AM50" i="44"/>
  <c r="AA50" i="44"/>
  <c r="O50" i="44"/>
  <c r="K50" i="44"/>
  <c r="L50" i="44"/>
  <c r="R50" i="44"/>
  <c r="U50" i="44"/>
  <c r="AD50" i="44"/>
  <c r="AG50" i="44"/>
  <c r="AS50" i="44"/>
  <c r="AP50" i="44"/>
  <c r="BB50" i="44"/>
  <c r="AZ20" i="28"/>
  <c r="BB20" i="28"/>
  <c r="K16" i="28"/>
  <c r="L16" i="28"/>
  <c r="AD16" i="28"/>
  <c r="X16" i="28"/>
  <c r="AP16" i="28"/>
  <c r="AJ16" i="28"/>
  <c r="AV16" i="28"/>
  <c r="AV22" i="28" s="1"/>
  <c r="AV23" i="28" s="1"/>
  <c r="E23" i="40" s="1"/>
  <c r="O16" i="28"/>
  <c r="U16" i="28"/>
  <c r="AA16" i="28"/>
  <c r="AG16" i="28"/>
  <c r="AM16" i="28"/>
  <c r="AY16" i="28"/>
  <c r="AS16" i="28"/>
  <c r="R16" i="28"/>
  <c r="AP36" i="19"/>
  <c r="X36" i="19"/>
  <c r="O36" i="19"/>
  <c r="AV36" i="19"/>
  <c r="L36" i="19"/>
  <c r="AG36" i="19"/>
  <c r="R36" i="19"/>
  <c r="AA36" i="19"/>
  <c r="AM36" i="19"/>
  <c r="U36" i="19"/>
  <c r="AJ36" i="19"/>
  <c r="K36" i="19"/>
  <c r="AS36" i="19"/>
  <c r="AD36" i="19"/>
  <c r="AY39" i="47"/>
  <c r="AY40" i="47"/>
  <c r="AJ42" i="20"/>
  <c r="U126" i="19"/>
  <c r="AZ14" i="47"/>
  <c r="BB14" i="47"/>
  <c r="AZ110" i="19"/>
  <c r="BB110" i="19"/>
  <c r="BB126" i="19" s="1"/>
  <c r="AZ31" i="47"/>
  <c r="BB31" i="47"/>
  <c r="AS73" i="44"/>
  <c r="AS74" i="44" s="1"/>
  <c r="AG73" i="44"/>
  <c r="AG74" i="44" s="1"/>
  <c r="AY73" i="44"/>
  <c r="AY74" i="44" s="1"/>
  <c r="K73" i="44"/>
  <c r="K74" i="44" s="1"/>
  <c r="C27" i="43" s="1"/>
  <c r="L73" i="44"/>
  <c r="L74" i="44" s="1"/>
  <c r="AD73" i="44"/>
  <c r="AD74" i="44" s="1"/>
  <c r="O73" i="44"/>
  <c r="O74" i="44" s="1"/>
  <c r="AV73" i="44"/>
  <c r="AV74" i="44" s="1"/>
  <c r="AM73" i="44"/>
  <c r="AM74" i="44" s="1"/>
  <c r="AA73" i="44"/>
  <c r="AA74" i="44" s="1"/>
  <c r="AP73" i="44"/>
  <c r="AP74" i="44" s="1"/>
  <c r="R73" i="44"/>
  <c r="R74" i="44" s="1"/>
  <c r="AJ73" i="44"/>
  <c r="AJ74" i="44" s="1"/>
  <c r="BB73" i="44"/>
  <c r="BB74" i="44" s="1"/>
  <c r="X73" i="44"/>
  <c r="X74" i="44" s="1"/>
  <c r="U73" i="44"/>
  <c r="U74" i="44" s="1"/>
  <c r="K33" i="20"/>
  <c r="C17" i="22" s="1"/>
  <c r="AA54" i="44"/>
  <c r="AA56" i="44" s="1"/>
  <c r="AM54" i="44"/>
  <c r="AM56" i="44" s="1"/>
  <c r="L54" i="44"/>
  <c r="L56" i="44" s="1"/>
  <c r="R54" i="44"/>
  <c r="R56" i="44" s="1"/>
  <c r="K54" i="44"/>
  <c r="K56" i="44" s="1"/>
  <c r="C23" i="43" s="1"/>
  <c r="AD54" i="44"/>
  <c r="AD56" i="44" s="1"/>
  <c r="AV54" i="44"/>
  <c r="AV56" i="44" s="1"/>
  <c r="AY54" i="44"/>
  <c r="U54" i="44"/>
  <c r="X54" i="44"/>
  <c r="X56" i="44" s="1"/>
  <c r="AG54" i="44"/>
  <c r="AG56" i="44" s="1"/>
  <c r="AJ54" i="44"/>
  <c r="AJ56" i="44" s="1"/>
  <c r="O54" i="44"/>
  <c r="O56" i="44" s="1"/>
  <c r="AS54" i="44"/>
  <c r="AP54" i="44"/>
  <c r="AP56" i="44" s="1"/>
  <c r="BB54" i="44"/>
  <c r="BB56" i="44" s="1"/>
  <c r="U43" i="44"/>
  <c r="AM43" i="44"/>
  <c r="AM45" i="44" s="1"/>
  <c r="R43" i="44"/>
  <c r="L43" i="44"/>
  <c r="X43" i="44"/>
  <c r="AJ43" i="44"/>
  <c r="AD43" i="44"/>
  <c r="AP43" i="44"/>
  <c r="AS43" i="44"/>
  <c r="BB43" i="44"/>
  <c r="K43" i="44"/>
  <c r="AV43" i="44"/>
  <c r="O43" i="44"/>
  <c r="AA43" i="44"/>
  <c r="AG43" i="44"/>
  <c r="AY43" i="44"/>
  <c r="U47" i="44"/>
  <c r="U51" i="44" s="1"/>
  <c r="AG47" i="44"/>
  <c r="AG51" i="44" s="1"/>
  <c r="AY47" i="44"/>
  <c r="AY51" i="44" s="1"/>
  <c r="X47" i="44"/>
  <c r="X51" i="44" s="1"/>
  <c r="R47" i="44"/>
  <c r="R51" i="44" s="1"/>
  <c r="AD47" i="44"/>
  <c r="AD51" i="44" s="1"/>
  <c r="AJ47" i="44"/>
  <c r="AJ51" i="44" s="1"/>
  <c r="AP47" i="44"/>
  <c r="AA47" i="44"/>
  <c r="AV47" i="44"/>
  <c r="AV51" i="44" s="1"/>
  <c r="O47" i="44"/>
  <c r="O51" i="44" s="1"/>
  <c r="AM47" i="44"/>
  <c r="AM51" i="44" s="1"/>
  <c r="AS47" i="44"/>
  <c r="K47" i="44"/>
  <c r="K51" i="44" s="1"/>
  <c r="C22" i="43" s="1"/>
  <c r="BB47" i="44"/>
  <c r="BB51" i="44" s="1"/>
  <c r="L39" i="47"/>
  <c r="L40" i="47"/>
  <c r="M29" i="20"/>
  <c r="Y29" i="20"/>
  <c r="AK29" i="20"/>
  <c r="AW29" i="20"/>
  <c r="AH29" i="20"/>
  <c r="AN29" i="20"/>
  <c r="BA29" i="20"/>
  <c r="I29" i="20"/>
  <c r="L29" i="20" s="1"/>
  <c r="V29" i="20"/>
  <c r="S29" i="20"/>
  <c r="AT29" i="20"/>
  <c r="AE29" i="20"/>
  <c r="P29" i="20"/>
  <c r="AQ29" i="20"/>
  <c r="AB29" i="20"/>
  <c r="AJ94" i="20"/>
  <c r="R119" i="20"/>
  <c r="R147" i="20" s="1"/>
  <c r="E19" i="30" s="1"/>
  <c r="AS76" i="20"/>
  <c r="AD104" i="20"/>
  <c r="AG128" i="20"/>
  <c r="AA86" i="20"/>
  <c r="BB18" i="44"/>
  <c r="AZ18" i="44"/>
  <c r="AY128" i="20"/>
  <c r="AY147" i="20" s="1"/>
  <c r="AP128" i="20"/>
  <c r="R104" i="20"/>
  <c r="L128" i="20"/>
  <c r="AV139" i="20"/>
  <c r="L104" i="20"/>
  <c r="BB100" i="20"/>
  <c r="AZ100" i="20"/>
  <c r="BB63" i="20"/>
  <c r="AZ63" i="20"/>
  <c r="BB113" i="20"/>
  <c r="BB119" i="20" s="1"/>
  <c r="AZ113" i="20"/>
  <c r="Y38" i="20"/>
  <c r="BA38" i="20"/>
  <c r="AN38" i="20"/>
  <c r="AW38" i="20"/>
  <c r="AH38" i="20"/>
  <c r="AT38" i="20"/>
  <c r="I38" i="20"/>
  <c r="L38" i="20" s="1"/>
  <c r="M38" i="20"/>
  <c r="V38" i="20"/>
  <c r="AK38" i="20"/>
  <c r="S38" i="20"/>
  <c r="AE38" i="20"/>
  <c r="AB38" i="20"/>
  <c r="AQ38" i="20"/>
  <c r="P38" i="20"/>
  <c r="AZ58" i="44"/>
  <c r="BB58" i="44"/>
  <c r="BB60" i="44" s="1"/>
  <c r="S78" i="44"/>
  <c r="AB78" i="44"/>
  <c r="AW78" i="44"/>
  <c r="Y78" i="44"/>
  <c r="I78" i="44"/>
  <c r="L78" i="44" s="1"/>
  <c r="AE78" i="44"/>
  <c r="BA78" i="44"/>
  <c r="AH78" i="44"/>
  <c r="AT78" i="44"/>
  <c r="AK78" i="44"/>
  <c r="P78" i="44"/>
  <c r="AN78" i="44"/>
  <c r="V78" i="44"/>
  <c r="M78" i="44"/>
  <c r="AQ78" i="44"/>
  <c r="AZ27" i="47"/>
  <c r="BB27" i="47"/>
  <c r="AN89" i="20"/>
  <c r="S89" i="20"/>
  <c r="V89" i="20"/>
  <c r="M89" i="20"/>
  <c r="AB89" i="20"/>
  <c r="AK89" i="20"/>
  <c r="Y89" i="20"/>
  <c r="AH89" i="20"/>
  <c r="AW89" i="20"/>
  <c r="I89" i="20"/>
  <c r="L89" i="20" s="1"/>
  <c r="AQ89" i="20"/>
  <c r="AE89" i="20"/>
  <c r="BA89" i="20"/>
  <c r="AT89" i="20"/>
  <c r="P89" i="20"/>
  <c r="AY126" i="19"/>
  <c r="AZ102" i="20"/>
  <c r="BB102" i="20"/>
  <c r="BB56" i="20"/>
  <c r="AZ56" i="20"/>
  <c r="AZ66" i="19"/>
  <c r="BB66" i="19"/>
  <c r="L126" i="19"/>
  <c r="AZ118" i="19"/>
  <c r="BB118" i="19"/>
  <c r="AV25" i="44"/>
  <c r="AV31" i="44" s="1"/>
  <c r="K25" i="44"/>
  <c r="K31" i="44" s="1"/>
  <c r="C18" i="43" s="1"/>
  <c r="AJ25" i="44"/>
  <c r="AJ31" i="44" s="1"/>
  <c r="AP25" i="44"/>
  <c r="AP31" i="44" s="1"/>
  <c r="AG25" i="44"/>
  <c r="AG31" i="44" s="1"/>
  <c r="O25" i="44"/>
  <c r="O31" i="44" s="1"/>
  <c r="R25" i="44"/>
  <c r="R31" i="44" s="1"/>
  <c r="U25" i="44"/>
  <c r="U31" i="44" s="1"/>
  <c r="AA25" i="44"/>
  <c r="AA31" i="44" s="1"/>
  <c r="X25" i="44"/>
  <c r="X31" i="44" s="1"/>
  <c r="AS25" i="44"/>
  <c r="AM25" i="44"/>
  <c r="AM31" i="44" s="1"/>
  <c r="AD25" i="44"/>
  <c r="AD31" i="44" s="1"/>
  <c r="BB25" i="44"/>
  <c r="BB31" i="44" s="1"/>
  <c r="AP119" i="20"/>
  <c r="AP147" i="20" s="1"/>
  <c r="E19" i="38" s="1"/>
  <c r="AJ31" i="19"/>
  <c r="AJ127" i="19" s="1"/>
  <c r="E22" i="36" s="1"/>
  <c r="O31" i="19"/>
  <c r="AM31" i="19"/>
  <c r="U31" i="19"/>
  <c r="AG31" i="19"/>
  <c r="AP31" i="19"/>
  <c r="AP81" i="19" s="1"/>
  <c r="AD31" i="19"/>
  <c r="AY31" i="19"/>
  <c r="K31" i="19"/>
  <c r="X31" i="19"/>
  <c r="X81" i="19" s="1"/>
  <c r="AA31" i="19"/>
  <c r="L31" i="19"/>
  <c r="R31" i="19"/>
  <c r="AS31" i="19"/>
  <c r="AV31" i="19"/>
  <c r="AZ36" i="19"/>
  <c r="BB36" i="19"/>
  <c r="BB81" i="19" s="1"/>
  <c r="AZ65" i="19"/>
  <c r="BB65" i="19"/>
  <c r="U33" i="20"/>
  <c r="U147" i="20" s="1"/>
  <c r="E19" i="31" s="1"/>
  <c r="O35" i="44"/>
  <c r="O38" i="44" s="1"/>
  <c r="U35" i="44"/>
  <c r="U38" i="44" s="1"/>
  <c r="AM35" i="44"/>
  <c r="AM38" i="44" s="1"/>
  <c r="R35" i="44"/>
  <c r="R38" i="44" s="1"/>
  <c r="AA35" i="44"/>
  <c r="AA38" i="44" s="1"/>
  <c r="AD35" i="44"/>
  <c r="AD38" i="44" s="1"/>
  <c r="AP35" i="44"/>
  <c r="AP38" i="44" s="1"/>
  <c r="AG35" i="44"/>
  <c r="AG38" i="44" s="1"/>
  <c r="AJ35" i="44"/>
  <c r="AV35" i="44"/>
  <c r="AV38" i="44" s="1"/>
  <c r="AS35" i="44"/>
  <c r="AY35" i="44"/>
  <c r="AY38" i="44" s="1"/>
  <c r="L35" i="44"/>
  <c r="K35" i="44"/>
  <c r="K38" i="44" s="1"/>
  <c r="C19" i="43" s="1"/>
  <c r="BB35" i="44"/>
  <c r="X35" i="44"/>
  <c r="X38" i="44" s="1"/>
  <c r="K88" i="44"/>
  <c r="K89" i="44" s="1"/>
  <c r="C31" i="43" s="1"/>
  <c r="R88" i="44"/>
  <c r="R89" i="44" s="1"/>
  <c r="AM88" i="44"/>
  <c r="AM89" i="44" s="1"/>
  <c r="X88" i="44"/>
  <c r="X89" i="44" s="1"/>
  <c r="AS88" i="44"/>
  <c r="AS89" i="44" s="1"/>
  <c r="AV88" i="44"/>
  <c r="AV89" i="44" s="1"/>
  <c r="O88" i="44"/>
  <c r="O89" i="44" s="1"/>
  <c r="AA88" i="44"/>
  <c r="AA89" i="44" s="1"/>
  <c r="AG88" i="44"/>
  <c r="AG89" i="44" s="1"/>
  <c r="L88" i="44"/>
  <c r="L89" i="44" s="1"/>
  <c r="U88" i="44"/>
  <c r="U89" i="44" s="1"/>
  <c r="AP88" i="44"/>
  <c r="AP89" i="44" s="1"/>
  <c r="AJ88" i="44"/>
  <c r="AJ89" i="44" s="1"/>
  <c r="BB88" i="44"/>
  <c r="BB89" i="44" s="1"/>
  <c r="AD88" i="44"/>
  <c r="AD89" i="44" s="1"/>
  <c r="R65" i="20"/>
  <c r="G21" i="22"/>
  <c r="Q21" i="22"/>
  <c r="W21" i="22"/>
  <c r="S21" i="22"/>
  <c r="M21" i="22"/>
  <c r="Y21" i="22"/>
  <c r="O21" i="22"/>
  <c r="AA21" i="22"/>
  <c r="I21" i="22"/>
  <c r="E21" i="22"/>
  <c r="U21" i="22"/>
  <c r="K21" i="22"/>
  <c r="K45" i="20"/>
  <c r="K50" i="20" s="1"/>
  <c r="C19" i="22" s="1"/>
  <c r="H45" i="20"/>
  <c r="AG22" i="44"/>
  <c r="AM22" i="44"/>
  <c r="AS22" i="44"/>
  <c r="AY22" i="44"/>
  <c r="K22" i="44"/>
  <c r="R22" i="44"/>
  <c r="U22" i="44"/>
  <c r="X22" i="44"/>
  <c r="AV22" i="44"/>
  <c r="AJ22" i="44"/>
  <c r="O22" i="44"/>
  <c r="AP22" i="44"/>
  <c r="AA22" i="44"/>
  <c r="L22" i="44"/>
  <c r="BB22" i="44"/>
  <c r="AD22" i="44"/>
  <c r="K20" i="44"/>
  <c r="R20" i="44"/>
  <c r="AA20" i="44"/>
  <c r="AM20" i="44"/>
  <c r="AS20" i="44"/>
  <c r="AJ20" i="44"/>
  <c r="X20" i="44"/>
  <c r="L20" i="44"/>
  <c r="AV20" i="44"/>
  <c r="AP20" i="44"/>
  <c r="AG20" i="44"/>
  <c r="O20" i="44"/>
  <c r="AD20" i="44"/>
  <c r="U20" i="44"/>
  <c r="AP40" i="47"/>
  <c r="AP39" i="47"/>
  <c r="G22" i="22"/>
  <c r="E22" i="22"/>
  <c r="K22" i="22"/>
  <c r="W22" i="22"/>
  <c r="AA22" i="22"/>
  <c r="U22" i="22"/>
  <c r="O22" i="22"/>
  <c r="Y22" i="22"/>
  <c r="M22" i="22"/>
  <c r="I22" i="22"/>
  <c r="Q22" i="22"/>
  <c r="S22" i="22"/>
  <c r="AG94" i="20"/>
  <c r="AS56" i="44"/>
  <c r="O86" i="20"/>
  <c r="O147" i="20" s="1"/>
  <c r="E19" i="27" s="1"/>
  <c r="AJ128" i="20"/>
  <c r="X104" i="20"/>
  <c r="AJ76" i="20"/>
  <c r="AJ147" i="20" s="1"/>
  <c r="E19" i="36" s="1"/>
  <c r="AV76" i="20"/>
  <c r="AZ141" i="20"/>
  <c r="BB141" i="20"/>
  <c r="BB143" i="20" s="1"/>
  <c r="AZ80" i="20"/>
  <c r="BB80" i="20"/>
  <c r="AW37" i="20"/>
  <c r="M37" i="20"/>
  <c r="V37" i="20"/>
  <c r="AE37" i="20"/>
  <c r="I37" i="20"/>
  <c r="L37" i="20" s="1"/>
  <c r="L42" i="20" s="1"/>
  <c r="S37" i="20"/>
  <c r="BA37" i="20"/>
  <c r="Y37" i="20"/>
  <c r="AQ37" i="20"/>
  <c r="AN37" i="20"/>
  <c r="AB37" i="20"/>
  <c r="AT37" i="20"/>
  <c r="P37" i="20"/>
  <c r="AK37" i="20"/>
  <c r="AH37" i="20"/>
  <c r="BB14" i="28"/>
  <c r="BB22" i="28" s="1"/>
  <c r="AZ14" i="28"/>
  <c r="BB139" i="20"/>
  <c r="AZ33" i="44"/>
  <c r="BB33" i="44"/>
  <c r="K94" i="20"/>
  <c r="C25" i="22" s="1"/>
  <c r="M34" i="44"/>
  <c r="AE34" i="44"/>
  <c r="Y34" i="44"/>
  <c r="AQ34" i="44"/>
  <c r="AK34" i="44"/>
  <c r="BA34" i="44"/>
  <c r="P34" i="44"/>
  <c r="AT34" i="44"/>
  <c r="AB34" i="44"/>
  <c r="V34" i="44"/>
  <c r="AN34" i="44"/>
  <c r="AH34" i="44"/>
  <c r="I34" i="44"/>
  <c r="L34" i="44" s="1"/>
  <c r="L38" i="44" s="1"/>
  <c r="AW34" i="44"/>
  <c r="S34" i="44"/>
  <c r="AZ15" i="19"/>
  <c r="BB15" i="19"/>
  <c r="AM63" i="19"/>
  <c r="K63" i="19"/>
  <c r="R63" i="19"/>
  <c r="AA63" i="19"/>
  <c r="AD63" i="19"/>
  <c r="AY63" i="19"/>
  <c r="AP63" i="19"/>
  <c r="L63" i="19"/>
  <c r="U63" i="19"/>
  <c r="X63" i="19"/>
  <c r="AG63" i="19"/>
  <c r="AJ63" i="19"/>
  <c r="AS63" i="19"/>
  <c r="AV63" i="19"/>
  <c r="O63" i="19"/>
  <c r="AZ61" i="19"/>
  <c r="BB61" i="19"/>
  <c r="AZ35" i="47"/>
  <c r="BB35" i="47"/>
  <c r="AZ17" i="47"/>
  <c r="BB17" i="47"/>
  <c r="AY56" i="44"/>
  <c r="AV33" i="20"/>
  <c r="R44" i="44"/>
  <c r="K44" i="44"/>
  <c r="U44" i="44"/>
  <c r="U45" i="44" s="1"/>
  <c r="AG44" i="44"/>
  <c r="AS44" i="44"/>
  <c r="O44" i="44"/>
  <c r="AY44" i="44"/>
  <c r="AV44" i="44"/>
  <c r="AJ44" i="44"/>
  <c r="X44" i="44"/>
  <c r="X45" i="44" s="1"/>
  <c r="AM44" i="44"/>
  <c r="AP44" i="44"/>
  <c r="AD44" i="44"/>
  <c r="BB44" i="44"/>
  <c r="L44" i="44"/>
  <c r="AA44" i="44"/>
  <c r="AZ19" i="47"/>
  <c r="BB19" i="47"/>
  <c r="K16" i="44"/>
  <c r="K23" i="44" s="1"/>
  <c r="C17" i="43" s="1"/>
  <c r="X16" i="44"/>
  <c r="X23" i="44" s="1"/>
  <c r="AP16" i="44"/>
  <c r="L16" i="44"/>
  <c r="AA16" i="44"/>
  <c r="AJ16" i="44"/>
  <c r="U16" i="44"/>
  <c r="AV16" i="44"/>
  <c r="AV23" i="44" s="1"/>
  <c r="BB16" i="44"/>
  <c r="AM16" i="44"/>
  <c r="AY16" i="44"/>
  <c r="AY23" i="44" s="1"/>
  <c r="O16" i="44"/>
  <c r="AG16" i="44"/>
  <c r="AG23" i="44" s="1"/>
  <c r="R16" i="44"/>
  <c r="AS16" i="44"/>
  <c r="AD16" i="44"/>
  <c r="AD23" i="44" s="1"/>
  <c r="AP63" i="44"/>
  <c r="AP68" i="44" s="1"/>
  <c r="K63" i="44"/>
  <c r="K68" i="44" s="1"/>
  <c r="C25" i="43" s="1"/>
  <c r="AS63" i="44"/>
  <c r="AS68" i="44" s="1"/>
  <c r="R63" i="44"/>
  <c r="R68" i="44" s="1"/>
  <c r="AV63" i="44"/>
  <c r="AV68" i="44" s="1"/>
  <c r="U63" i="44"/>
  <c r="U68" i="44" s="1"/>
  <c r="X63" i="44"/>
  <c r="X68" i="44" s="1"/>
  <c r="AY63" i="44"/>
  <c r="AY68" i="44" s="1"/>
  <c r="AD63" i="44"/>
  <c r="AD68" i="44" s="1"/>
  <c r="AG63" i="44"/>
  <c r="AJ63" i="44"/>
  <c r="AJ68" i="44" s="1"/>
  <c r="AM63" i="44"/>
  <c r="AM68" i="44" s="1"/>
  <c r="L63" i="44"/>
  <c r="AA63" i="44"/>
  <c r="AA68" i="44" s="1"/>
  <c r="O63" i="44"/>
  <c r="O68" i="44" s="1"/>
  <c r="BB63" i="44"/>
  <c r="AD40" i="47"/>
  <c r="AD39" i="47"/>
  <c r="U56" i="44"/>
  <c r="O119" i="20"/>
  <c r="AM76" i="20"/>
  <c r="K104" i="20"/>
  <c r="C26" i="22" s="1"/>
  <c r="O128" i="20"/>
  <c r="AM128" i="20"/>
  <c r="L139" i="20"/>
  <c r="AA81" i="19"/>
  <c r="AA127" i="19"/>
  <c r="E22" i="33" s="1"/>
  <c r="AZ83" i="20"/>
  <c r="BB83" i="20"/>
  <c r="AZ124" i="19"/>
  <c r="BB124" i="19"/>
  <c r="BB98" i="20"/>
  <c r="BB104" i="20" s="1"/>
  <c r="AZ98" i="20"/>
  <c r="L81" i="19"/>
  <c r="L127" i="19"/>
  <c r="AM33" i="20"/>
  <c r="AM147" i="20" s="1"/>
  <c r="E19" i="37" s="1"/>
  <c r="AY82" i="44"/>
  <c r="AY83" i="44" s="1"/>
  <c r="K42" i="20"/>
  <c r="C18" i="22" s="1"/>
  <c r="L22" i="28"/>
  <c r="L23" i="28" s="1"/>
  <c r="Y72" i="20"/>
  <c r="I72" i="20"/>
  <c r="L72" i="20" s="1"/>
  <c r="L76" i="20" s="1"/>
  <c r="AB72" i="20"/>
  <c r="AT72" i="20"/>
  <c r="V72" i="20"/>
  <c r="AK72" i="20"/>
  <c r="AE72" i="20"/>
  <c r="AW72" i="20"/>
  <c r="BA72" i="20"/>
  <c r="P72" i="20"/>
  <c r="AN72" i="20"/>
  <c r="AH72" i="20"/>
  <c r="M72" i="20"/>
  <c r="S72" i="20"/>
  <c r="AQ72" i="20"/>
  <c r="BB39" i="20"/>
  <c r="AZ39" i="20"/>
  <c r="I88" i="20"/>
  <c r="L88" i="20" s="1"/>
  <c r="L94" i="20" s="1"/>
  <c r="AE88" i="20"/>
  <c r="AN88" i="20"/>
  <c r="P88" i="20"/>
  <c r="AW88" i="20"/>
  <c r="AB88" i="20"/>
  <c r="M88" i="20"/>
  <c r="V88" i="20"/>
  <c r="AK88" i="20"/>
  <c r="S88" i="20"/>
  <c r="AH88" i="20"/>
  <c r="BA88" i="20"/>
  <c r="Y88" i="20"/>
  <c r="AT88" i="20"/>
  <c r="AQ88" i="20"/>
  <c r="AG39" i="47"/>
  <c r="L20" i="20"/>
  <c r="BB99" i="20"/>
  <c r="AZ99" i="20"/>
  <c r="BB77" i="44"/>
  <c r="AZ77" i="44"/>
  <c r="AY81" i="19"/>
  <c r="AY127" i="19" s="1"/>
  <c r="C17" i="14"/>
  <c r="I18" i="54" l="1"/>
  <c r="G18" i="54"/>
  <c r="E18" i="54"/>
  <c r="G45" i="52"/>
  <c r="H45" i="52" s="1"/>
  <c r="G66" i="52"/>
  <c r="H66" i="52" s="1"/>
  <c r="G77" i="52"/>
  <c r="H77" i="52" s="1"/>
  <c r="G78" i="52"/>
  <c r="H78" i="52" s="1"/>
  <c r="G72" i="52"/>
  <c r="H72" i="52" s="1"/>
  <c r="G75" i="52"/>
  <c r="H75" i="52" s="1"/>
  <c r="G70" i="52"/>
  <c r="H70" i="52" s="1"/>
  <c r="G76" i="52"/>
  <c r="H76" i="52" s="1"/>
  <c r="G71" i="52"/>
  <c r="H71" i="52" s="1"/>
  <c r="G65" i="52"/>
  <c r="H65" i="52" s="1"/>
  <c r="G74" i="52"/>
  <c r="H74" i="52" s="1"/>
  <c r="G63" i="52"/>
  <c r="H63" i="52" s="1"/>
  <c r="G67" i="52"/>
  <c r="H67" i="52" s="1"/>
  <c r="G79" i="52"/>
  <c r="H79" i="52" s="1"/>
  <c r="G68" i="52"/>
  <c r="H68" i="52" s="1"/>
  <c r="G64" i="52"/>
  <c r="H64" i="52" s="1"/>
  <c r="G61" i="52"/>
  <c r="H61" i="52" s="1"/>
  <c r="G62" i="52"/>
  <c r="H62" i="52" s="1"/>
  <c r="G60" i="52"/>
  <c r="H60" i="52" s="1"/>
  <c r="G57" i="52"/>
  <c r="H57" i="52" s="1"/>
  <c r="G58" i="52"/>
  <c r="H58" i="52" s="1"/>
  <c r="G56" i="52"/>
  <c r="H56" i="52" s="1"/>
  <c r="G53" i="52"/>
  <c r="H53" i="52" s="1"/>
  <c r="G54" i="52"/>
  <c r="H54" i="52" s="1"/>
  <c r="G55" i="52"/>
  <c r="H55" i="52" s="1"/>
  <c r="G47" i="52"/>
  <c r="H47" i="52" s="1"/>
  <c r="G48" i="52"/>
  <c r="H48" i="52" s="1"/>
  <c r="G44" i="52"/>
  <c r="H44" i="52" s="1"/>
  <c r="G51" i="52"/>
  <c r="H51" i="52" s="1"/>
  <c r="G52" i="52"/>
  <c r="H52" i="52" s="1"/>
  <c r="G46" i="52"/>
  <c r="H46" i="52" s="1"/>
  <c r="G50" i="52"/>
  <c r="H50" i="52" s="1"/>
  <c r="G26" i="52"/>
  <c r="H26" i="52" s="1"/>
  <c r="G43" i="52"/>
  <c r="H43" i="52" s="1"/>
  <c r="H20" i="52"/>
  <c r="G22" i="52"/>
  <c r="H22" i="52" s="1"/>
  <c r="G16" i="52"/>
  <c r="Y16" i="14"/>
  <c r="E16" i="14"/>
  <c r="M16" i="14"/>
  <c r="W16" i="14"/>
  <c r="K16" i="14"/>
  <c r="Q16" i="14"/>
  <c r="I16" i="14"/>
  <c r="AA16" i="14"/>
  <c r="G16" i="14"/>
  <c r="O16" i="14"/>
  <c r="U16" i="14"/>
  <c r="S16" i="14"/>
  <c r="BB127" i="19"/>
  <c r="U25" i="43"/>
  <c r="Y25" i="43"/>
  <c r="Q25" i="43"/>
  <c r="AA25" i="43"/>
  <c r="W25" i="43"/>
  <c r="O25" i="43"/>
  <c r="K25" i="43"/>
  <c r="G25" i="43"/>
  <c r="I25" i="43"/>
  <c r="S25" i="43"/>
  <c r="E25" i="43"/>
  <c r="M25" i="43"/>
  <c r="AP127" i="19"/>
  <c r="E22" i="38" s="1"/>
  <c r="I19" i="31"/>
  <c r="I19" i="39"/>
  <c r="I19" i="32"/>
  <c r="I19" i="36"/>
  <c r="I19" i="37"/>
  <c r="I19" i="38"/>
  <c r="I19" i="35"/>
  <c r="I19" i="40"/>
  <c r="I19" i="34"/>
  <c r="I19" i="30"/>
  <c r="I19" i="33"/>
  <c r="I19" i="27"/>
  <c r="U19" i="43"/>
  <c r="G19" i="43"/>
  <c r="AA19" i="43"/>
  <c r="S19" i="43"/>
  <c r="Q19" i="43"/>
  <c r="O19" i="43"/>
  <c r="M19" i="43"/>
  <c r="E19" i="43"/>
  <c r="I19" i="43"/>
  <c r="W19" i="43"/>
  <c r="K19" i="43"/>
  <c r="Y19" i="43"/>
  <c r="AG22" i="28"/>
  <c r="AG23" i="28"/>
  <c r="E23" i="35" s="1"/>
  <c r="AZ55" i="20"/>
  <c r="BB55" i="20"/>
  <c r="BB57" i="20" s="1"/>
  <c r="AG68" i="44"/>
  <c r="AM23" i="44"/>
  <c r="BB45" i="44"/>
  <c r="U127" i="19"/>
  <c r="E22" i="31" s="1"/>
  <c r="AS31" i="44"/>
  <c r="AA51" i="44"/>
  <c r="AS45" i="44"/>
  <c r="AA22" i="28"/>
  <c r="AA23" i="28" s="1"/>
  <c r="E23" i="33" s="1"/>
  <c r="C28" i="43"/>
  <c r="BB23" i="20"/>
  <c r="AZ23" i="20"/>
  <c r="AJ60" i="44"/>
  <c r="AY60" i="44"/>
  <c r="AP23" i="44"/>
  <c r="AP90" i="44" s="1"/>
  <c r="E20" i="38" s="1"/>
  <c r="E25" i="38" s="1"/>
  <c r="C27" i="38" s="1"/>
  <c r="C28" i="38" s="1"/>
  <c r="Y23" i="22"/>
  <c r="W23" i="22"/>
  <c r="K23" i="22"/>
  <c r="U23" i="22"/>
  <c r="G23" i="22"/>
  <c r="Q23" i="22"/>
  <c r="E23" i="22"/>
  <c r="M23" i="22"/>
  <c r="AA23" i="22"/>
  <c r="I23" i="22"/>
  <c r="O23" i="22"/>
  <c r="S23" i="22"/>
  <c r="BB72" i="20"/>
  <c r="BB76" i="20" s="1"/>
  <c r="AZ72" i="20"/>
  <c r="BB23" i="44"/>
  <c r="Q17" i="43"/>
  <c r="U17" i="43"/>
  <c r="I17" i="43"/>
  <c r="Y17" i="43"/>
  <c r="S17" i="43"/>
  <c r="AA17" i="43"/>
  <c r="E17" i="43"/>
  <c r="O17" i="43"/>
  <c r="G17" i="43"/>
  <c r="M17" i="43"/>
  <c r="W17" i="43"/>
  <c r="K17" i="43"/>
  <c r="BB37" i="20"/>
  <c r="AZ37" i="20"/>
  <c r="AS38" i="44"/>
  <c r="BB23" i="28"/>
  <c r="Y18" i="43"/>
  <c r="M18" i="43"/>
  <c r="G18" i="43"/>
  <c r="E18" i="43"/>
  <c r="AA18" i="43"/>
  <c r="I18" i="43"/>
  <c r="W18" i="43"/>
  <c r="S18" i="43"/>
  <c r="K18" i="43"/>
  <c r="O18" i="43"/>
  <c r="U18" i="43"/>
  <c r="Q18" i="43"/>
  <c r="X127" i="19"/>
  <c r="E22" i="32" s="1"/>
  <c r="AZ29" i="20"/>
  <c r="BB29" i="20"/>
  <c r="AP51" i="44"/>
  <c r="AY45" i="44"/>
  <c r="AY90" i="44" s="1"/>
  <c r="AP45" i="44"/>
  <c r="K147" i="20"/>
  <c r="U22" i="28"/>
  <c r="U23" i="28"/>
  <c r="E23" i="31" s="1"/>
  <c r="K22" i="28"/>
  <c r="C18" i="29" s="1"/>
  <c r="O127" i="19"/>
  <c r="E22" i="27" s="1"/>
  <c r="BB62" i="44"/>
  <c r="BB68" i="44" s="1"/>
  <c r="AZ62" i="44"/>
  <c r="L68" i="44"/>
  <c r="AS60" i="44"/>
  <c r="X60" i="44"/>
  <c r="E27" i="43"/>
  <c r="G27" i="43"/>
  <c r="I27" i="43"/>
  <c r="M27" i="43"/>
  <c r="S27" i="43"/>
  <c r="Q27" i="43"/>
  <c r="W27" i="43"/>
  <c r="U27" i="43"/>
  <c r="K27" i="43"/>
  <c r="Y27" i="43"/>
  <c r="AA27" i="43"/>
  <c r="O27" i="43"/>
  <c r="K29" i="43"/>
  <c r="E29" i="43"/>
  <c r="O29" i="43"/>
  <c r="I29" i="43"/>
  <c r="G29" i="43"/>
  <c r="S29" i="43"/>
  <c r="M29" i="43"/>
  <c r="U29" i="43"/>
  <c r="Y29" i="43"/>
  <c r="Q29" i="43"/>
  <c r="AA29" i="43"/>
  <c r="W29" i="43"/>
  <c r="K40" i="47"/>
  <c r="X40" i="47"/>
  <c r="AG45" i="44"/>
  <c r="AD45" i="44"/>
  <c r="K17" i="22"/>
  <c r="AA17" i="22"/>
  <c r="W17" i="22"/>
  <c r="U17" i="22"/>
  <c r="G17" i="22"/>
  <c r="S17" i="22"/>
  <c r="E17" i="22"/>
  <c r="M17" i="22"/>
  <c r="Q17" i="22"/>
  <c r="C34" i="22"/>
  <c r="D23" i="22" s="1"/>
  <c r="I17" i="22"/>
  <c r="Y17" i="22"/>
  <c r="D17" i="22"/>
  <c r="O17" i="22"/>
  <c r="O22" i="28"/>
  <c r="O23" i="28" s="1"/>
  <c r="E23" i="27" s="1"/>
  <c r="AS127" i="19"/>
  <c r="E22" i="39" s="1"/>
  <c r="BB86" i="20"/>
  <c r="U60" i="44"/>
  <c r="BB40" i="47"/>
  <c r="BB39" i="47"/>
  <c r="AS23" i="44"/>
  <c r="U23" i="44"/>
  <c r="U90" i="44"/>
  <c r="E20" i="31" s="1"/>
  <c r="E25" i="31" s="1"/>
  <c r="C27" i="31" s="1"/>
  <c r="C28" i="31" s="1"/>
  <c r="I25" i="22"/>
  <c r="O25" i="22"/>
  <c r="S25" i="22"/>
  <c r="M25" i="22"/>
  <c r="G25" i="22"/>
  <c r="K25" i="22"/>
  <c r="Q25" i="22"/>
  <c r="Y25" i="22"/>
  <c r="U25" i="22"/>
  <c r="W25" i="22"/>
  <c r="AA25" i="22"/>
  <c r="D25" i="22"/>
  <c r="E25" i="22"/>
  <c r="M45" i="20"/>
  <c r="AB45" i="20"/>
  <c r="AQ45" i="20"/>
  <c r="AN45" i="20"/>
  <c r="P45" i="20"/>
  <c r="AT45" i="20"/>
  <c r="Y45" i="20"/>
  <c r="V45" i="20"/>
  <c r="BA45" i="20"/>
  <c r="I45" i="20"/>
  <c r="L45" i="20" s="1"/>
  <c r="AK45" i="20"/>
  <c r="AE45" i="20"/>
  <c r="AW45" i="20"/>
  <c r="S45" i="20"/>
  <c r="AH45" i="20"/>
  <c r="I31" i="43"/>
  <c r="Y31" i="43"/>
  <c r="O31" i="43"/>
  <c r="M31" i="43"/>
  <c r="Q31" i="43"/>
  <c r="K31" i="43"/>
  <c r="G31" i="43"/>
  <c r="U31" i="43"/>
  <c r="W31" i="43"/>
  <c r="S31" i="43"/>
  <c r="AA31" i="43"/>
  <c r="E31" i="43"/>
  <c r="AJ38" i="44"/>
  <c r="BB78" i="44"/>
  <c r="AZ78" i="44"/>
  <c r="AZ38" i="20"/>
  <c r="BB38" i="20"/>
  <c r="M22" i="43"/>
  <c r="U22" i="43"/>
  <c r="AA22" i="43"/>
  <c r="E22" i="43"/>
  <c r="S22" i="43"/>
  <c r="K22" i="43"/>
  <c r="Y22" i="43"/>
  <c r="O22" i="43"/>
  <c r="G22" i="43"/>
  <c r="Q22" i="43"/>
  <c r="W22" i="43"/>
  <c r="I22" i="43"/>
  <c r="AA45" i="44"/>
  <c r="AJ45" i="44"/>
  <c r="R22" i="28"/>
  <c r="R23" i="28" s="1"/>
  <c r="E23" i="30" s="1"/>
  <c r="BB79" i="44"/>
  <c r="AZ79" i="44"/>
  <c r="BB76" i="44"/>
  <c r="AZ76" i="44"/>
  <c r="AM127" i="19"/>
  <c r="E22" i="37" s="1"/>
  <c r="K60" i="44"/>
  <c r="C24" i="43" s="1"/>
  <c r="AA60" i="44"/>
  <c r="K127" i="19"/>
  <c r="Q18" i="22"/>
  <c r="O18" i="22"/>
  <c r="W18" i="22"/>
  <c r="I18" i="22"/>
  <c r="AA18" i="22"/>
  <c r="D18" i="22"/>
  <c r="S18" i="22"/>
  <c r="M18" i="22"/>
  <c r="E18" i="22"/>
  <c r="K18" i="22"/>
  <c r="Y18" i="22"/>
  <c r="G18" i="22"/>
  <c r="U18" i="22"/>
  <c r="Y26" i="22"/>
  <c r="E26" i="22"/>
  <c r="M26" i="22"/>
  <c r="AA26" i="22"/>
  <c r="Q26" i="22"/>
  <c r="O26" i="22"/>
  <c r="I26" i="22"/>
  <c r="S26" i="22"/>
  <c r="W26" i="22"/>
  <c r="G26" i="22"/>
  <c r="U26" i="22"/>
  <c r="D26" i="22"/>
  <c r="K26" i="22"/>
  <c r="R23" i="44"/>
  <c r="R90" i="44" s="1"/>
  <c r="E20" i="30" s="1"/>
  <c r="E25" i="30" s="1"/>
  <c r="C27" i="30" s="1"/>
  <c r="C28" i="30" s="1"/>
  <c r="AJ23" i="44"/>
  <c r="AJ90" i="44" s="1"/>
  <c r="E20" i="36" s="1"/>
  <c r="E25" i="36" s="1"/>
  <c r="C27" i="36" s="1"/>
  <c r="C28" i="36" s="1"/>
  <c r="G12" i="52"/>
  <c r="K19" i="22"/>
  <c r="W19" i="22"/>
  <c r="M19" i="22"/>
  <c r="G19" i="22"/>
  <c r="U19" i="22"/>
  <c r="S19" i="22"/>
  <c r="O19" i="22"/>
  <c r="E19" i="22"/>
  <c r="Q19" i="22"/>
  <c r="Y19" i="22"/>
  <c r="AA19" i="22"/>
  <c r="I19" i="22"/>
  <c r="D19" i="22"/>
  <c r="X90" i="44"/>
  <c r="E20" i="32" s="1"/>
  <c r="E25" i="32" s="1"/>
  <c r="C27" i="32" s="1"/>
  <c r="C28" i="32" s="1"/>
  <c r="AG90" i="44"/>
  <c r="E20" i="35" s="1"/>
  <c r="E25" i="35" s="1"/>
  <c r="C27" i="35" s="1"/>
  <c r="C28" i="35" s="1"/>
  <c r="AS51" i="44"/>
  <c r="AS90" i="44" s="1"/>
  <c r="E20" i="39" s="1"/>
  <c r="E25" i="39" s="1"/>
  <c r="C27" i="39" s="1"/>
  <c r="C28" i="39" s="1"/>
  <c r="O45" i="44"/>
  <c r="O23" i="43"/>
  <c r="M23" i="43"/>
  <c r="Q23" i="43"/>
  <c r="K23" i="43"/>
  <c r="E23" i="43"/>
  <c r="S23" i="43"/>
  <c r="U23" i="43"/>
  <c r="AA23" i="43"/>
  <c r="G23" i="43"/>
  <c r="W23" i="43"/>
  <c r="I23" i="43"/>
  <c r="Y23" i="43"/>
  <c r="AS22" i="28"/>
  <c r="AS23" i="28" s="1"/>
  <c r="E23" i="39" s="1"/>
  <c r="AJ22" i="28"/>
  <c r="AJ23" i="28"/>
  <c r="E23" i="36" s="1"/>
  <c r="AD127" i="19"/>
  <c r="E22" i="34" s="1"/>
  <c r="L60" i="44"/>
  <c r="AM60" i="44"/>
  <c r="AZ88" i="20"/>
  <c r="BB88" i="20"/>
  <c r="AA90" i="44"/>
  <c r="E20" i="33" s="1"/>
  <c r="E25" i="33" s="1"/>
  <c r="C27" i="33" s="1"/>
  <c r="C28" i="33" s="1"/>
  <c r="AA23" i="44"/>
  <c r="AZ34" i="44"/>
  <c r="BB34" i="44"/>
  <c r="BB38" i="44" s="1"/>
  <c r="AV45" i="44"/>
  <c r="AV90" i="44" s="1"/>
  <c r="E20" i="40" s="1"/>
  <c r="E25" i="40" s="1"/>
  <c r="C27" i="40" s="1"/>
  <c r="C28" i="40" s="1"/>
  <c r="L45" i="44"/>
  <c r="AY22" i="28"/>
  <c r="AY23" i="28" s="1"/>
  <c r="AP23" i="28"/>
  <c r="E23" i="38" s="1"/>
  <c r="AP22" i="28"/>
  <c r="M30" i="43"/>
  <c r="U30" i="43"/>
  <c r="AA30" i="43"/>
  <c r="E30" i="43"/>
  <c r="W30" i="43"/>
  <c r="I30" i="43"/>
  <c r="S30" i="43"/>
  <c r="K30" i="43"/>
  <c r="Y30" i="43"/>
  <c r="O30" i="43"/>
  <c r="G30" i="43"/>
  <c r="Q30" i="43"/>
  <c r="AZ40" i="20"/>
  <c r="BB40" i="20"/>
  <c r="E26" i="43"/>
  <c r="O26" i="43"/>
  <c r="I26" i="43"/>
  <c r="S26" i="43"/>
  <c r="U26" i="43"/>
  <c r="Y26" i="43"/>
  <c r="W26" i="43"/>
  <c r="G26" i="43"/>
  <c r="AA26" i="43"/>
  <c r="M26" i="43"/>
  <c r="Q26" i="43"/>
  <c r="K26" i="43"/>
  <c r="AS39" i="47"/>
  <c r="AG60" i="44"/>
  <c r="AD60" i="44"/>
  <c r="AD90" i="44" s="1"/>
  <c r="E20" i="34" s="1"/>
  <c r="E25" i="34" s="1"/>
  <c r="C27" i="34" s="1"/>
  <c r="C28" i="34" s="1"/>
  <c r="AV127" i="19"/>
  <c r="E22" i="40" s="1"/>
  <c r="AM90" i="44"/>
  <c r="E20" i="37" s="1"/>
  <c r="E25" i="37" s="1"/>
  <c r="C27" i="37" s="1"/>
  <c r="C28" i="37" s="1"/>
  <c r="AZ89" i="20"/>
  <c r="BB89" i="20"/>
  <c r="AD22" i="28"/>
  <c r="AD23" i="28"/>
  <c r="E23" i="34" s="1"/>
  <c r="O23" i="44"/>
  <c r="O90" i="44" s="1"/>
  <c r="E20" i="27" s="1"/>
  <c r="E25" i="27" s="1"/>
  <c r="C27" i="27" s="1"/>
  <c r="C29" i="27" s="1"/>
  <c r="L23" i="44"/>
  <c r="L90" i="44" s="1"/>
  <c r="K45" i="44"/>
  <c r="C21" i="43" s="1"/>
  <c r="R45" i="44"/>
  <c r="AM22" i="28"/>
  <c r="AM23" i="28"/>
  <c r="E23" i="37" s="1"/>
  <c r="X22" i="28"/>
  <c r="X23" i="28"/>
  <c r="E23" i="32" s="1"/>
  <c r="W31" i="22"/>
  <c r="K31" i="22"/>
  <c r="D31" i="22"/>
  <c r="U31" i="22"/>
  <c r="Q31" i="22"/>
  <c r="M31" i="22"/>
  <c r="S31" i="22"/>
  <c r="G31" i="22"/>
  <c r="I31" i="22"/>
  <c r="E31" i="22"/>
  <c r="O31" i="22"/>
  <c r="Y31" i="22"/>
  <c r="AA31" i="22"/>
  <c r="AA40" i="47"/>
  <c r="AA39" i="47"/>
  <c r="R60" i="44"/>
  <c r="AV60" i="44"/>
  <c r="C22" i="34"/>
  <c r="C22" i="32"/>
  <c r="C22" i="31"/>
  <c r="C22" i="37"/>
  <c r="C22" i="36"/>
  <c r="C22" i="30"/>
  <c r="C22" i="33"/>
  <c r="C22" i="35"/>
  <c r="C22" i="38"/>
  <c r="C22" i="27"/>
  <c r="C22" i="39"/>
  <c r="C22" i="40"/>
  <c r="Q17" i="14"/>
  <c r="Q19" i="14" s="1"/>
  <c r="K17" i="14"/>
  <c r="K19" i="14" s="1"/>
  <c r="S17" i="14"/>
  <c r="S19" i="14" s="1"/>
  <c r="U17" i="14"/>
  <c r="U19" i="14" s="1"/>
  <c r="AA17" i="14"/>
  <c r="AA19" i="14" s="1"/>
  <c r="W17" i="14"/>
  <c r="W19" i="14" s="1"/>
  <c r="I17" i="14"/>
  <c r="I19" i="14" s="1"/>
  <c r="G17" i="14"/>
  <c r="G19" i="14" s="1"/>
  <c r="M17" i="14"/>
  <c r="M19" i="14" s="1"/>
  <c r="E17" i="14"/>
  <c r="E19" i="14" s="1"/>
  <c r="Y17" i="14"/>
  <c r="Y19" i="14" s="1"/>
  <c r="O17" i="14"/>
  <c r="O19" i="14" s="1"/>
  <c r="C19" i="14"/>
  <c r="D16" i="14" s="1"/>
  <c r="D17" i="14"/>
  <c r="I22" i="35"/>
  <c r="I22" i="30"/>
  <c r="I22" i="27"/>
  <c r="I22" i="38"/>
  <c r="I22" i="39"/>
  <c r="I22" i="40"/>
  <c r="I22" i="36"/>
  <c r="I22" i="32"/>
  <c r="I22" i="37"/>
  <c r="I22" i="34"/>
  <c r="I22" i="33"/>
  <c r="I22" i="31"/>
  <c r="H80" i="52" l="1"/>
  <c r="H16" i="52"/>
  <c r="H17" i="52" s="1"/>
  <c r="I23" i="33"/>
  <c r="I23" i="35"/>
  <c r="I23" i="27"/>
  <c r="I23" i="37"/>
  <c r="I23" i="30"/>
  <c r="I23" i="31"/>
  <c r="I23" i="38"/>
  <c r="I23" i="40"/>
  <c r="I23" i="34"/>
  <c r="I23" i="32"/>
  <c r="I23" i="39"/>
  <c r="I23" i="36"/>
  <c r="I20" i="35"/>
  <c r="I20" i="39"/>
  <c r="I20" i="32"/>
  <c r="I20" i="36"/>
  <c r="I20" i="34"/>
  <c r="I20" i="38"/>
  <c r="I20" i="31"/>
  <c r="I20" i="27"/>
  <c r="I20" i="40"/>
  <c r="I20" i="33"/>
  <c r="I20" i="30"/>
  <c r="I20" i="37"/>
  <c r="Y34" i="22"/>
  <c r="Z34" i="22" s="1"/>
  <c r="U34" i="22"/>
  <c r="V34" i="22" s="1"/>
  <c r="H12" i="52"/>
  <c r="H13" i="52" s="1"/>
  <c r="I34" i="22"/>
  <c r="J34" i="22" s="1"/>
  <c r="W34" i="22"/>
  <c r="X34" i="22" s="1"/>
  <c r="K22" i="30"/>
  <c r="K22" i="34"/>
  <c r="K22" i="37"/>
  <c r="K22" i="32"/>
  <c r="K22" i="39"/>
  <c r="K22" i="31"/>
  <c r="K22" i="38"/>
  <c r="K22" i="27"/>
  <c r="K22" i="40"/>
  <c r="K22" i="33"/>
  <c r="K22" i="35"/>
  <c r="K22" i="36"/>
  <c r="L50" i="20"/>
  <c r="L147" i="20"/>
  <c r="D30" i="22"/>
  <c r="D27" i="22"/>
  <c r="D16" i="22"/>
  <c r="D34" i="22" s="1"/>
  <c r="D29" i="22"/>
  <c r="D28" i="22"/>
  <c r="D33" i="22"/>
  <c r="D22" i="22"/>
  <c r="D20" i="22"/>
  <c r="D21" i="22"/>
  <c r="D24" i="22"/>
  <c r="D32" i="22"/>
  <c r="AA34" i="22"/>
  <c r="AB34" i="22" s="1"/>
  <c r="AZ45" i="20"/>
  <c r="BB45" i="20"/>
  <c r="BB50" i="20" s="1"/>
  <c r="Q34" i="22"/>
  <c r="R34" i="22" s="1"/>
  <c r="K34" i="22"/>
  <c r="L34" i="22" s="1"/>
  <c r="U18" i="29"/>
  <c r="G18" i="29"/>
  <c r="Y18" i="29"/>
  <c r="W18" i="29"/>
  <c r="I18" i="29"/>
  <c r="O18" i="29"/>
  <c r="E18" i="29"/>
  <c r="M18" i="29"/>
  <c r="D18" i="29"/>
  <c r="AA18" i="29"/>
  <c r="S18" i="29"/>
  <c r="K18" i="29"/>
  <c r="Q18" i="29"/>
  <c r="K23" i="37"/>
  <c r="K23" i="34"/>
  <c r="K23" i="30"/>
  <c r="K23" i="36"/>
  <c r="K23" i="35"/>
  <c r="K23" i="40"/>
  <c r="K23" i="27"/>
  <c r="K23" i="31"/>
  <c r="K23" i="32"/>
  <c r="K23" i="39"/>
  <c r="K23" i="33"/>
  <c r="K23" i="38"/>
  <c r="G32" i="43"/>
  <c r="BB33" i="20"/>
  <c r="BB94" i="20"/>
  <c r="G24" i="43"/>
  <c r="I24" i="43"/>
  <c r="W24" i="43"/>
  <c r="S24" i="43"/>
  <c r="K24" i="43"/>
  <c r="U24" i="43"/>
  <c r="Q24" i="43"/>
  <c r="Y24" i="43"/>
  <c r="AA24" i="43"/>
  <c r="O24" i="43"/>
  <c r="M24" i="43"/>
  <c r="E24" i="43"/>
  <c r="M34" i="22"/>
  <c r="N34" i="22" s="1"/>
  <c r="K23" i="28"/>
  <c r="E28" i="43"/>
  <c r="Y28" i="43"/>
  <c r="K28" i="43"/>
  <c r="I28" i="43"/>
  <c r="U28" i="43"/>
  <c r="AA28" i="43"/>
  <c r="G28" i="43"/>
  <c r="O28" i="43"/>
  <c r="Q28" i="43"/>
  <c r="M28" i="43"/>
  <c r="W28" i="43"/>
  <c r="S28" i="43"/>
  <c r="E34" i="22"/>
  <c r="K90" i="44"/>
  <c r="G21" i="43"/>
  <c r="W21" i="43"/>
  <c r="W32" i="43" s="1"/>
  <c r="X32" i="43" s="1"/>
  <c r="I21" i="43"/>
  <c r="I32" i="43" s="1"/>
  <c r="J32" i="43" s="1"/>
  <c r="Y21" i="43"/>
  <c r="Y32" i="43" s="1"/>
  <c r="Z32" i="43" s="1"/>
  <c r="O21" i="43"/>
  <c r="O32" i="43" s="1"/>
  <c r="P32" i="43" s="1"/>
  <c r="M21" i="43"/>
  <c r="M32" i="43" s="1"/>
  <c r="N32" i="43" s="1"/>
  <c r="Q21" i="43"/>
  <c r="Q32" i="43" s="1"/>
  <c r="R32" i="43" s="1"/>
  <c r="K21" i="43"/>
  <c r="K32" i="43" s="1"/>
  <c r="L32" i="43" s="1"/>
  <c r="E21" i="43"/>
  <c r="S21" i="43"/>
  <c r="S32" i="43" s="1"/>
  <c r="T32" i="43" s="1"/>
  <c r="U21" i="43"/>
  <c r="U32" i="43" s="1"/>
  <c r="V32" i="43" s="1"/>
  <c r="AA21" i="43"/>
  <c r="O34" i="22"/>
  <c r="P34" i="22" s="1"/>
  <c r="S34" i="22"/>
  <c r="T34" i="22" s="1"/>
  <c r="BB42" i="20"/>
  <c r="BB147" i="20" s="1"/>
  <c r="E32" i="43"/>
  <c r="H21" i="52"/>
  <c r="BB80" i="44"/>
  <c r="BB90" i="44" s="1"/>
  <c r="G34" i="22"/>
  <c r="H34" i="22" s="1"/>
  <c r="C19" i="38"/>
  <c r="C19" i="33"/>
  <c r="C19" i="39"/>
  <c r="C19" i="32"/>
  <c r="C19" i="40"/>
  <c r="C19" i="37"/>
  <c r="C19" i="30"/>
  <c r="C19" i="34"/>
  <c r="C19" i="31"/>
  <c r="C19" i="35"/>
  <c r="C19" i="36"/>
  <c r="C19" i="27"/>
  <c r="C32" i="43"/>
  <c r="AA32" i="43"/>
  <c r="AB32" i="43" s="1"/>
  <c r="D19" i="14"/>
  <c r="P19" i="14"/>
  <c r="Z19" i="14"/>
  <c r="F19" i="14"/>
  <c r="E20" i="14"/>
  <c r="N19" i="14"/>
  <c r="H19" i="14"/>
  <c r="J19" i="14"/>
  <c r="X19" i="14"/>
  <c r="AB19" i="14"/>
  <c r="V19" i="14"/>
  <c r="T19" i="14"/>
  <c r="L19" i="14"/>
  <c r="R19" i="14"/>
  <c r="H23" i="52" l="1"/>
  <c r="H213" i="52" s="1"/>
  <c r="C13" i="8"/>
  <c r="C15" i="54"/>
  <c r="C10" i="8"/>
  <c r="C12" i="54"/>
  <c r="C11" i="8"/>
  <c r="C13" i="54"/>
  <c r="K20" i="39"/>
  <c r="K20" i="38"/>
  <c r="K20" i="33"/>
  <c r="K20" i="31"/>
  <c r="K20" i="37"/>
  <c r="K20" i="40"/>
  <c r="K20" i="34"/>
  <c r="K20" i="36"/>
  <c r="K20" i="27"/>
  <c r="K20" i="30"/>
  <c r="K20" i="35"/>
  <c r="K20" i="32"/>
  <c r="K19" i="33"/>
  <c r="K19" i="37"/>
  <c r="K19" i="27"/>
  <c r="K19" i="32"/>
  <c r="K19" i="30"/>
  <c r="K19" i="36"/>
  <c r="K19" i="35"/>
  <c r="K19" i="38"/>
  <c r="K19" i="39"/>
  <c r="K19" i="40"/>
  <c r="K19" i="34"/>
  <c r="K19" i="31"/>
  <c r="D20" i="43"/>
  <c r="D16" i="43"/>
  <c r="D27" i="43"/>
  <c r="D22" i="43"/>
  <c r="D26" i="43"/>
  <c r="D17" i="43"/>
  <c r="D25" i="43"/>
  <c r="D19" i="43"/>
  <c r="D30" i="43"/>
  <c r="D18" i="43"/>
  <c r="D29" i="43"/>
  <c r="D23" i="43"/>
  <c r="D31" i="43"/>
  <c r="F32" i="43"/>
  <c r="E33" i="43"/>
  <c r="L22" i="31"/>
  <c r="I25" i="33"/>
  <c r="J20" i="39"/>
  <c r="I25" i="39"/>
  <c r="C23" i="35"/>
  <c r="C23" i="36"/>
  <c r="C23" i="32"/>
  <c r="C23" i="40"/>
  <c r="C23" i="27"/>
  <c r="C23" i="39"/>
  <c r="C23" i="37"/>
  <c r="C23" i="38"/>
  <c r="C23" i="33"/>
  <c r="C23" i="31"/>
  <c r="D23" i="31" s="1"/>
  <c r="C23" i="30"/>
  <c r="C23" i="34"/>
  <c r="H32" i="43"/>
  <c r="I25" i="40"/>
  <c r="I25" i="35"/>
  <c r="C25" i="39"/>
  <c r="L22" i="39" s="1"/>
  <c r="D21" i="43"/>
  <c r="I25" i="27"/>
  <c r="C25" i="35"/>
  <c r="C25" i="33"/>
  <c r="I25" i="31"/>
  <c r="C25" i="31"/>
  <c r="C20" i="30"/>
  <c r="C20" i="27"/>
  <c r="C25" i="27" s="1"/>
  <c r="C20" i="39"/>
  <c r="C20" i="32"/>
  <c r="C25" i="32" s="1"/>
  <c r="C20" i="31"/>
  <c r="C20" i="38"/>
  <c r="C20" i="40"/>
  <c r="C25" i="40" s="1"/>
  <c r="C20" i="34"/>
  <c r="C20" i="33"/>
  <c r="C20" i="36"/>
  <c r="C20" i="35"/>
  <c r="C20" i="37"/>
  <c r="D28" i="43"/>
  <c r="L23" i="39"/>
  <c r="L22" i="33"/>
  <c r="J20" i="38"/>
  <c r="I25" i="38"/>
  <c r="L23" i="37"/>
  <c r="I25" i="34"/>
  <c r="C25" i="38"/>
  <c r="L23" i="38" s="1"/>
  <c r="D19" i="38"/>
  <c r="D25" i="38" s="1"/>
  <c r="C25" i="30"/>
  <c r="L23" i="31"/>
  <c r="J20" i="37"/>
  <c r="I25" i="37"/>
  <c r="I25" i="36"/>
  <c r="C25" i="37"/>
  <c r="J23" i="37" s="1"/>
  <c r="D19" i="37"/>
  <c r="D25" i="37" s="1"/>
  <c r="E35" i="22"/>
  <c r="F34" i="22"/>
  <c r="D24" i="43"/>
  <c r="L22" i="38"/>
  <c r="J20" i="30"/>
  <c r="I25" i="30"/>
  <c r="I25" i="32"/>
  <c r="J23" i="38"/>
  <c r="F20" i="14"/>
  <c r="H20" i="14" s="1"/>
  <c r="J20" i="14" s="1"/>
  <c r="L20" i="14" s="1"/>
  <c r="N20" i="14" s="1"/>
  <c r="P20" i="14" s="1"/>
  <c r="R20" i="14" s="1"/>
  <c r="T20" i="14" s="1"/>
  <c r="V20" i="14" s="1"/>
  <c r="X20" i="14" s="1"/>
  <c r="Z20" i="14" s="1"/>
  <c r="AB20" i="14" s="1"/>
  <c r="G20" i="14"/>
  <c r="I20" i="14" s="1"/>
  <c r="K20" i="14" s="1"/>
  <c r="M20" i="14" s="1"/>
  <c r="O20" i="14" s="1"/>
  <c r="Q20" i="14" s="1"/>
  <c r="S20" i="14" s="1"/>
  <c r="U20" i="14" s="1"/>
  <c r="W20" i="14" s="1"/>
  <c r="Y20" i="14" s="1"/>
  <c r="AA20" i="14" s="1"/>
  <c r="G15" i="54" l="1"/>
  <c r="I15" i="54"/>
  <c r="E15" i="54"/>
  <c r="C12" i="8"/>
  <c r="C20" i="8" s="1"/>
  <c r="C14" i="54"/>
  <c r="C22" i="54" s="1"/>
  <c r="I13" i="54"/>
  <c r="E13" i="54"/>
  <c r="G13" i="54"/>
  <c r="D20" i="27"/>
  <c r="J21" i="27"/>
  <c r="D21" i="27"/>
  <c r="L21" i="27"/>
  <c r="J19" i="27"/>
  <c r="J25" i="27" s="1"/>
  <c r="J22" i="27"/>
  <c r="D29" i="27"/>
  <c r="D22" i="27"/>
  <c r="J20" i="27"/>
  <c r="D19" i="27"/>
  <c r="D25" i="27" s="1"/>
  <c r="J23" i="27"/>
  <c r="L23" i="27"/>
  <c r="L22" i="27"/>
  <c r="D20" i="40"/>
  <c r="L21" i="40"/>
  <c r="D21" i="40"/>
  <c r="J21" i="40"/>
  <c r="J19" i="40"/>
  <c r="J25" i="40" s="1"/>
  <c r="D28" i="40"/>
  <c r="J22" i="40"/>
  <c r="D22" i="40"/>
  <c r="L22" i="40"/>
  <c r="J23" i="40"/>
  <c r="J20" i="40"/>
  <c r="L23" i="40"/>
  <c r="D19" i="40"/>
  <c r="D25" i="40" s="1"/>
  <c r="D20" i="32"/>
  <c r="D21" i="32"/>
  <c r="L21" i="32"/>
  <c r="J21" i="32"/>
  <c r="J19" i="32"/>
  <c r="J25" i="32" s="1"/>
  <c r="D28" i="32"/>
  <c r="D22" i="32"/>
  <c r="J22" i="32"/>
  <c r="J20" i="32"/>
  <c r="J23" i="32"/>
  <c r="L22" i="32"/>
  <c r="D19" i="32"/>
  <c r="D25" i="32" s="1"/>
  <c r="L23" i="32"/>
  <c r="D20" i="30"/>
  <c r="D21" i="30"/>
  <c r="J21" i="30"/>
  <c r="L21" i="30"/>
  <c r="J19" i="30"/>
  <c r="J25" i="30" s="1"/>
  <c r="D28" i="30"/>
  <c r="D22" i="30"/>
  <c r="J22" i="30"/>
  <c r="D19" i="30"/>
  <c r="D25" i="30" s="1"/>
  <c r="J21" i="31"/>
  <c r="D21" i="31"/>
  <c r="L21" i="31"/>
  <c r="J19" i="31"/>
  <c r="J25" i="31" s="1"/>
  <c r="D28" i="31"/>
  <c r="D22" i="31"/>
  <c r="J22" i="31"/>
  <c r="L22" i="37"/>
  <c r="L21" i="35"/>
  <c r="J21" i="35"/>
  <c r="D21" i="35"/>
  <c r="J19" i="35"/>
  <c r="J25" i="35" s="1"/>
  <c r="J22" i="35"/>
  <c r="D28" i="35"/>
  <c r="D22" i="35"/>
  <c r="J20" i="35"/>
  <c r="D23" i="33"/>
  <c r="D23" i="35"/>
  <c r="L19" i="40"/>
  <c r="L25" i="40" s="1"/>
  <c r="K25" i="40"/>
  <c r="L19" i="37"/>
  <c r="L25" i="37" s="1"/>
  <c r="K25" i="37"/>
  <c r="L20" i="40"/>
  <c r="J21" i="33"/>
  <c r="D21" i="33"/>
  <c r="L21" i="33"/>
  <c r="J19" i="33"/>
  <c r="J25" i="33" s="1"/>
  <c r="J22" i="33"/>
  <c r="D22" i="33"/>
  <c r="D28" i="33"/>
  <c r="J23" i="30"/>
  <c r="F35" i="22"/>
  <c r="H35" i="22" s="1"/>
  <c r="J35" i="22" s="1"/>
  <c r="L35" i="22" s="1"/>
  <c r="N35" i="22" s="1"/>
  <c r="P35" i="22" s="1"/>
  <c r="R35" i="22" s="1"/>
  <c r="T35" i="22" s="1"/>
  <c r="V35" i="22" s="1"/>
  <c r="X35" i="22" s="1"/>
  <c r="Z35" i="22" s="1"/>
  <c r="AB35" i="22" s="1"/>
  <c r="G35" i="22"/>
  <c r="I35" i="22" s="1"/>
  <c r="K35" i="22" s="1"/>
  <c r="M35" i="22" s="1"/>
  <c r="O35" i="22" s="1"/>
  <c r="Q35" i="22" s="1"/>
  <c r="S35" i="22" s="1"/>
  <c r="U35" i="22" s="1"/>
  <c r="W35" i="22" s="1"/>
  <c r="Y35" i="22" s="1"/>
  <c r="AA35" i="22" s="1"/>
  <c r="D20" i="38"/>
  <c r="D21" i="38"/>
  <c r="L21" i="38"/>
  <c r="J21" i="38"/>
  <c r="J19" i="38"/>
  <c r="J25" i="38" s="1"/>
  <c r="D28" i="38"/>
  <c r="D22" i="38"/>
  <c r="J22" i="38"/>
  <c r="D19" i="31"/>
  <c r="D25" i="31" s="1"/>
  <c r="L22" i="35"/>
  <c r="D19" i="35"/>
  <c r="D25" i="35" s="1"/>
  <c r="D23" i="38"/>
  <c r="J20" i="33"/>
  <c r="K25" i="39"/>
  <c r="L19" i="39"/>
  <c r="L25" i="39" s="1"/>
  <c r="K25" i="33"/>
  <c r="L19" i="33"/>
  <c r="L25" i="33" s="1"/>
  <c r="L20" i="37"/>
  <c r="D23" i="30"/>
  <c r="J23" i="33"/>
  <c r="D20" i="39"/>
  <c r="D21" i="39"/>
  <c r="L21" i="39"/>
  <c r="J21" i="39"/>
  <c r="J19" i="39"/>
  <c r="J25" i="39" s="1"/>
  <c r="D22" i="39"/>
  <c r="D28" i="39"/>
  <c r="J22" i="39"/>
  <c r="D23" i="37"/>
  <c r="K25" i="38"/>
  <c r="L19" i="38"/>
  <c r="L25" i="38" s="1"/>
  <c r="L20" i="32"/>
  <c r="L20" i="31"/>
  <c r="D23" i="32"/>
  <c r="L19" i="31"/>
  <c r="L25" i="31" s="1"/>
  <c r="K25" i="31"/>
  <c r="K25" i="27"/>
  <c r="L19" i="27"/>
  <c r="L25" i="27" s="1"/>
  <c r="J21" i="37"/>
  <c r="L21" i="37"/>
  <c r="D21" i="37"/>
  <c r="J19" i="37"/>
  <c r="J25" i="37" s="1"/>
  <c r="D28" i="37"/>
  <c r="D22" i="37"/>
  <c r="J22" i="37"/>
  <c r="D20" i="31"/>
  <c r="J23" i="39"/>
  <c r="D19" i="39"/>
  <c r="D25" i="39" s="1"/>
  <c r="L23" i="35"/>
  <c r="D23" i="39"/>
  <c r="L19" i="35"/>
  <c r="L25" i="35" s="1"/>
  <c r="K25" i="35"/>
  <c r="L20" i="35"/>
  <c r="L20" i="33"/>
  <c r="K25" i="32"/>
  <c r="L19" i="32"/>
  <c r="L25" i="32" s="1"/>
  <c r="D20" i="33"/>
  <c r="G12" i="54"/>
  <c r="I12" i="54"/>
  <c r="E12" i="54"/>
  <c r="L22" i="30"/>
  <c r="C25" i="34"/>
  <c r="L20" i="34" s="1"/>
  <c r="D20" i="37"/>
  <c r="L23" i="30"/>
  <c r="C25" i="36"/>
  <c r="L20" i="36" s="1"/>
  <c r="D23" i="27"/>
  <c r="D32" i="43"/>
  <c r="K25" i="36"/>
  <c r="L20" i="30"/>
  <c r="L20" i="38"/>
  <c r="D19" i="33"/>
  <c r="D25" i="33" s="1"/>
  <c r="K25" i="34"/>
  <c r="L19" i="34"/>
  <c r="L25" i="34" s="1"/>
  <c r="J23" i="35"/>
  <c r="D20" i="35"/>
  <c r="J20" i="31"/>
  <c r="L23" i="33"/>
  <c r="D23" i="34"/>
  <c r="D23" i="40"/>
  <c r="J23" i="31"/>
  <c r="G33" i="43"/>
  <c r="I33" i="43" s="1"/>
  <c r="K33" i="43" s="1"/>
  <c r="M33" i="43" s="1"/>
  <c r="O33" i="43" s="1"/>
  <c r="Q33" i="43" s="1"/>
  <c r="S33" i="43" s="1"/>
  <c r="U33" i="43" s="1"/>
  <c r="W33" i="43" s="1"/>
  <c r="Y33" i="43" s="1"/>
  <c r="AA33" i="43" s="1"/>
  <c r="F33" i="43"/>
  <c r="H33" i="43" s="1"/>
  <c r="J33" i="43" s="1"/>
  <c r="L33" i="43" s="1"/>
  <c r="N33" i="43" s="1"/>
  <c r="P33" i="43" s="1"/>
  <c r="R33" i="43" s="1"/>
  <c r="T33" i="43" s="1"/>
  <c r="V33" i="43" s="1"/>
  <c r="X33" i="43" s="1"/>
  <c r="Z33" i="43" s="1"/>
  <c r="AB33" i="43" s="1"/>
  <c r="L19" i="30"/>
  <c r="L25" i="30" s="1"/>
  <c r="K25" i="30"/>
  <c r="L20" i="27"/>
  <c r="L20" i="39"/>
  <c r="D18" i="8" l="1"/>
  <c r="D19" i="8"/>
  <c r="D20" i="54"/>
  <c r="D21" i="54"/>
  <c r="D12" i="54"/>
  <c r="D18" i="54"/>
  <c r="D17" i="54"/>
  <c r="D16" i="54"/>
  <c r="D19" i="54"/>
  <c r="D15" i="54"/>
  <c r="I14" i="54"/>
  <c r="I22" i="54" s="1"/>
  <c r="E14" i="54"/>
  <c r="E22" i="54" s="1"/>
  <c r="G14" i="54"/>
  <c r="G22" i="54" s="1"/>
  <c r="D21" i="36"/>
  <c r="L21" i="36"/>
  <c r="J21" i="36"/>
  <c r="J19" i="36"/>
  <c r="J25" i="36" s="1"/>
  <c r="D28" i="36"/>
  <c r="J22" i="36"/>
  <c r="D22" i="36"/>
  <c r="D19" i="36"/>
  <c r="D25" i="36" s="1"/>
  <c r="L22" i="36"/>
  <c r="J23" i="36"/>
  <c r="J20" i="36"/>
  <c r="L23" i="36"/>
  <c r="D20" i="36"/>
  <c r="D23" i="36"/>
  <c r="L19" i="36"/>
  <c r="L25" i="36" s="1"/>
  <c r="L21" i="34"/>
  <c r="D21" i="34"/>
  <c r="J21" i="34"/>
  <c r="J19" i="34"/>
  <c r="J25" i="34" s="1"/>
  <c r="J22" i="34"/>
  <c r="D22" i="34"/>
  <c r="D28" i="34"/>
  <c r="L22" i="34"/>
  <c r="J20" i="34"/>
  <c r="D19" i="34"/>
  <c r="D25" i="34" s="1"/>
  <c r="J23" i="34"/>
  <c r="L23" i="34"/>
  <c r="D20" i="34"/>
  <c r="D15" i="8" l="1"/>
  <c r="D16" i="8"/>
  <c r="D14" i="8"/>
  <c r="D17" i="8"/>
  <c r="D11" i="8"/>
  <c r="D13" i="8"/>
  <c r="D12" i="8"/>
  <c r="D14" i="54"/>
  <c r="D13" i="54"/>
  <c r="K12" i="27"/>
  <c r="F20" i="27" s="1"/>
  <c r="K12" i="35"/>
  <c r="F19" i="35" s="1"/>
  <c r="K12" i="30"/>
  <c r="F19" i="30" s="1"/>
  <c r="K12" i="38"/>
  <c r="F19" i="38" s="1"/>
  <c r="K12" i="33"/>
  <c r="F23" i="33" s="1"/>
  <c r="K12" i="31"/>
  <c r="F19" i="31" s="1"/>
  <c r="K12" i="40"/>
  <c r="F21" i="40" s="1"/>
  <c r="K12" i="34"/>
  <c r="F21" i="34" s="1"/>
  <c r="K12" i="36"/>
  <c r="F22" i="36" s="1"/>
  <c r="K12" i="37"/>
  <c r="F19" i="37" s="1"/>
  <c r="K12" i="39"/>
  <c r="F20" i="39" s="1"/>
  <c r="D10" i="8"/>
  <c r="K12" i="32"/>
  <c r="F23" i="32" s="1"/>
  <c r="H22" i="54"/>
  <c r="F22" i="54"/>
  <c r="J22" i="54"/>
  <c r="D22" i="54" l="1"/>
  <c r="D20" i="8"/>
  <c r="F23" i="30"/>
  <c r="F23" i="38"/>
  <c r="F20" i="38"/>
  <c r="F20" i="35"/>
  <c r="F21" i="38"/>
  <c r="F22" i="38"/>
  <c r="F19" i="39"/>
  <c r="F23" i="39"/>
  <c r="F20" i="34"/>
  <c r="F20" i="30"/>
  <c r="F23" i="36"/>
  <c r="F21" i="35"/>
  <c r="F23" i="35"/>
  <c r="F20" i="37"/>
  <c r="F19" i="34"/>
  <c r="F23" i="27"/>
  <c r="F23" i="34"/>
  <c r="F22" i="34"/>
  <c r="F21" i="27"/>
  <c r="F19" i="27"/>
  <c r="F22" i="27"/>
  <c r="F19" i="40"/>
  <c r="F22" i="33"/>
  <c r="F21" i="39"/>
  <c r="F22" i="39"/>
  <c r="F20" i="36"/>
  <c r="F20" i="40"/>
  <c r="F21" i="36"/>
  <c r="F22" i="40"/>
  <c r="F20" i="33"/>
  <c r="F20" i="31"/>
  <c r="F23" i="40"/>
  <c r="F23" i="31"/>
  <c r="F22" i="35"/>
  <c r="F21" i="30"/>
  <c r="F21" i="33"/>
  <c r="F21" i="37"/>
  <c r="F22" i="37"/>
  <c r="E23" i="54"/>
  <c r="F23" i="54" s="1"/>
  <c r="H23" i="54" s="1"/>
  <c r="J23" i="54" s="1"/>
  <c r="F21" i="31"/>
  <c r="F22" i="30"/>
  <c r="F23" i="37"/>
  <c r="F19" i="36"/>
  <c r="F22" i="31"/>
  <c r="F19" i="33"/>
  <c r="F21" i="32"/>
  <c r="F22" i="32"/>
  <c r="F19" i="32"/>
  <c r="F20" i="32"/>
  <c r="F25" i="35" l="1"/>
  <c r="F25" i="38"/>
  <c r="F25" i="30"/>
  <c r="F25" i="27"/>
  <c r="F25" i="34"/>
  <c r="F25" i="39"/>
  <c r="F25" i="37"/>
  <c r="F25" i="40"/>
  <c r="F25" i="31"/>
  <c r="F25" i="36"/>
  <c r="F25" i="32"/>
  <c r="F25" i="33"/>
  <c r="G23" i="54"/>
  <c r="I23" i="54" s="1"/>
</calcChain>
</file>

<file path=xl/comments1.xml><?xml version="1.0" encoding="utf-8"?>
<comments xmlns="http://schemas.openxmlformats.org/spreadsheetml/2006/main">
  <authors>
    <author>nasantos</author>
  </authors>
  <commentList>
    <comment ref="F9" authorId="0" shapeId="0">
      <text>
        <r>
          <rPr>
            <b/>
            <sz val="10"/>
            <color indexed="81"/>
            <rFont val="Tahoma"/>
            <family val="2"/>
          </rPr>
          <t>os itens que estão na cor azul foi considerado boletim de abril/07 com incc 16,18%, ou seja multiplicamos por 1,25</t>
        </r>
        <r>
          <rPr>
            <b/>
            <sz val="8"/>
            <color indexed="81"/>
            <rFont val="Tahoma"/>
            <family val="2"/>
          </rPr>
          <t xml:space="preserve">
</t>
        </r>
      </text>
    </comment>
  </commentList>
</comments>
</file>

<file path=xl/comments2.xml><?xml version="1.0" encoding="utf-8"?>
<comments xmlns="http://schemas.openxmlformats.org/spreadsheetml/2006/main">
  <authors>
    <author>VMedeiros</author>
  </authors>
  <commentList>
    <comment ref="J23" authorId="0" shapeId="0">
      <text>
        <r>
          <rPr>
            <b/>
            <sz val="8"/>
            <color indexed="81"/>
            <rFont val="Tahoma"/>
            <family val="2"/>
          </rPr>
          <t>VMedeiros:</t>
        </r>
        <r>
          <rPr>
            <sz val="8"/>
            <color indexed="81"/>
            <rFont val="Tahoma"/>
            <family val="2"/>
          </rPr>
          <t xml:space="preserve">
Manteve-se o preço do Boletim Sinfra Abril /2007, com INCC de 16,18%</t>
        </r>
      </text>
    </comment>
    <comment ref="J24" authorId="0" shapeId="0">
      <text>
        <r>
          <rPr>
            <b/>
            <sz val="8"/>
            <color indexed="81"/>
            <rFont val="Tahoma"/>
            <family val="2"/>
          </rPr>
          <t>VMedeiros:</t>
        </r>
        <r>
          <rPr>
            <sz val="8"/>
            <color indexed="81"/>
            <rFont val="Tahoma"/>
            <family val="2"/>
          </rPr>
          <t xml:space="preserve">
Manteve-se o preço do Boletim Sinfra Abril /2007, com INCC de 16,18%</t>
        </r>
      </text>
    </comment>
    <comment ref="J25" authorId="0" shapeId="0">
      <text>
        <r>
          <rPr>
            <b/>
            <sz val="8"/>
            <color indexed="81"/>
            <rFont val="Tahoma"/>
            <family val="2"/>
          </rPr>
          <t>VMedeiros:</t>
        </r>
        <r>
          <rPr>
            <sz val="8"/>
            <color indexed="81"/>
            <rFont val="Tahoma"/>
            <family val="2"/>
          </rPr>
          <t xml:space="preserve">
Manteve-se o preço do Boletim Sinfra Abril /2007, com INCC de 16,18%</t>
        </r>
      </text>
    </comment>
    <comment ref="J26" authorId="0" shapeId="0">
      <text>
        <r>
          <rPr>
            <b/>
            <sz val="8"/>
            <color indexed="81"/>
            <rFont val="Tahoma"/>
            <family val="2"/>
          </rPr>
          <t>VMedeiros:</t>
        </r>
        <r>
          <rPr>
            <sz val="8"/>
            <color indexed="81"/>
            <rFont val="Tahoma"/>
            <family val="2"/>
          </rPr>
          <t xml:space="preserve">
Manteve-se o preço do Boletim Sinfra Abril /2007, com INCC de 16,18%</t>
        </r>
      </text>
    </comment>
    <comment ref="J27" authorId="0" shapeId="0">
      <text>
        <r>
          <rPr>
            <b/>
            <sz val="8"/>
            <color indexed="81"/>
            <rFont val="Tahoma"/>
            <family val="2"/>
          </rPr>
          <t>VMedeiros:</t>
        </r>
        <r>
          <rPr>
            <sz val="8"/>
            <color indexed="81"/>
            <rFont val="Tahoma"/>
            <family val="2"/>
          </rPr>
          <t xml:space="preserve">
Manteve-se o preço do Boletim Sinfra Abril /2007, com INCC de 16,18%</t>
        </r>
      </text>
    </comment>
    <comment ref="J30" authorId="0" shapeId="0">
      <text>
        <r>
          <rPr>
            <b/>
            <sz val="8"/>
            <color indexed="81"/>
            <rFont val="Tahoma"/>
            <family val="2"/>
          </rPr>
          <t>VMedeiros:</t>
        </r>
        <r>
          <rPr>
            <sz val="8"/>
            <color indexed="81"/>
            <rFont val="Tahoma"/>
            <family val="2"/>
          </rPr>
          <t xml:space="preserve">
Manteve-se o preço do Boletim Sinfra Abril /2007, com INCC de 16,18%</t>
        </r>
      </text>
    </comment>
    <comment ref="J32" authorId="0" shapeId="0">
      <text>
        <r>
          <rPr>
            <b/>
            <sz val="8"/>
            <color indexed="81"/>
            <rFont val="Tahoma"/>
            <family val="2"/>
          </rPr>
          <t>VMedeiros:</t>
        </r>
        <r>
          <rPr>
            <sz val="8"/>
            <color indexed="81"/>
            <rFont val="Tahoma"/>
            <family val="2"/>
          </rPr>
          <t xml:space="preserve">
Manteve-se o preço do Boletim Sinfra Abril /2007, com INCC de 16,18%</t>
        </r>
      </text>
    </comment>
    <comment ref="J34" authorId="0" shapeId="0">
      <text>
        <r>
          <rPr>
            <b/>
            <sz val="8"/>
            <color indexed="81"/>
            <rFont val="Tahoma"/>
            <family val="2"/>
          </rPr>
          <t>VMedeiros:</t>
        </r>
        <r>
          <rPr>
            <sz val="8"/>
            <color indexed="81"/>
            <rFont val="Tahoma"/>
            <family val="2"/>
          </rPr>
          <t xml:space="preserve">
Manteve-se o preço do Boletim Sinfra Abril /2007, com INCC de 16,18%</t>
        </r>
      </text>
    </comment>
    <comment ref="J35" authorId="0" shapeId="0">
      <text>
        <r>
          <rPr>
            <b/>
            <sz val="8"/>
            <color indexed="81"/>
            <rFont val="Tahoma"/>
            <family val="2"/>
          </rPr>
          <t>VMedeiros:</t>
        </r>
        <r>
          <rPr>
            <sz val="8"/>
            <color indexed="81"/>
            <rFont val="Tahoma"/>
            <family val="2"/>
          </rPr>
          <t xml:space="preserve">
Manteve-se o preço do Boletim Sinfra Abril /2007, com INCC de 16,18%</t>
        </r>
      </text>
    </comment>
    <comment ref="J39" authorId="0" shapeId="0">
      <text>
        <r>
          <rPr>
            <b/>
            <sz val="8"/>
            <color indexed="81"/>
            <rFont val="Tahoma"/>
            <family val="2"/>
          </rPr>
          <t>VMedeiros:</t>
        </r>
        <r>
          <rPr>
            <sz val="8"/>
            <color indexed="81"/>
            <rFont val="Tahoma"/>
            <family val="2"/>
          </rPr>
          <t xml:space="preserve">
Manteve-se o preço do Boletim Sinfra Abril /2007, com INCC de 16,18%</t>
        </r>
      </text>
    </comment>
    <comment ref="J43" authorId="0" shapeId="0">
      <text>
        <r>
          <rPr>
            <b/>
            <sz val="8"/>
            <color indexed="81"/>
            <rFont val="Tahoma"/>
            <family val="2"/>
          </rPr>
          <t>VMedeiros:</t>
        </r>
        <r>
          <rPr>
            <sz val="8"/>
            <color indexed="81"/>
            <rFont val="Tahoma"/>
            <family val="2"/>
          </rPr>
          <t xml:space="preserve">
Manteve-se o preço do Boletim Sinfra Abril /2007, com INCC de 16,18%</t>
        </r>
      </text>
    </comment>
    <comment ref="J48" authorId="0" shapeId="0">
      <text>
        <r>
          <rPr>
            <b/>
            <sz val="8"/>
            <color indexed="81"/>
            <rFont val="Tahoma"/>
            <family val="2"/>
          </rPr>
          <t>VMedeiros:</t>
        </r>
        <r>
          <rPr>
            <sz val="8"/>
            <color indexed="81"/>
            <rFont val="Tahoma"/>
            <family val="2"/>
          </rPr>
          <t xml:space="preserve">
Manteve-se o preço do Boletim Sinfra Abril /2007, com INCC de 16,18%</t>
        </r>
      </text>
    </comment>
    <comment ref="J49" authorId="0" shapeId="0">
      <text>
        <r>
          <rPr>
            <b/>
            <sz val="8"/>
            <color indexed="81"/>
            <rFont val="Tahoma"/>
            <family val="2"/>
          </rPr>
          <t>VMedeiros:</t>
        </r>
        <r>
          <rPr>
            <sz val="8"/>
            <color indexed="81"/>
            <rFont val="Tahoma"/>
            <family val="2"/>
          </rPr>
          <t xml:space="preserve">
Manteve-se o preço do Boletim Sinfra Abril /2007, com INCC de 16,18%</t>
        </r>
      </text>
    </comment>
    <comment ref="J50" authorId="0" shapeId="0">
      <text>
        <r>
          <rPr>
            <b/>
            <sz val="8"/>
            <color indexed="81"/>
            <rFont val="Tahoma"/>
            <family val="2"/>
          </rPr>
          <t>VMedeiros:</t>
        </r>
        <r>
          <rPr>
            <sz val="8"/>
            <color indexed="81"/>
            <rFont val="Tahoma"/>
            <family val="2"/>
          </rPr>
          <t xml:space="preserve">
Manteve-se o preço do Boletim Sinfra Abril /2007, com INCC de 16,18%</t>
        </r>
      </text>
    </comment>
    <comment ref="J51" authorId="0" shapeId="0">
      <text>
        <r>
          <rPr>
            <b/>
            <sz val="8"/>
            <color indexed="81"/>
            <rFont val="Tahoma"/>
            <family val="2"/>
          </rPr>
          <t>VMedeiros:</t>
        </r>
        <r>
          <rPr>
            <sz val="8"/>
            <color indexed="81"/>
            <rFont val="Tahoma"/>
            <family val="2"/>
          </rPr>
          <t xml:space="preserve">
Manteve-se o preço do Boletim Sinfra Abril /2007, com INCC de 16,18%</t>
        </r>
      </text>
    </comment>
    <comment ref="J56"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57"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58"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60"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61"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62"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63"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64"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66" authorId="0" shapeId="0">
      <text>
        <r>
          <rPr>
            <b/>
            <sz val="8"/>
            <color indexed="81"/>
            <rFont val="Tahoma"/>
            <family val="2"/>
          </rPr>
          <t>VMedeiros:</t>
        </r>
        <r>
          <rPr>
            <sz val="8"/>
            <color indexed="81"/>
            <rFont val="Tahoma"/>
            <family val="2"/>
          </rPr>
          <t xml:space="preserve">
Manteve-se o preço do Boletim Sinfra Abril /2007, com INCC de 16,18%</t>
        </r>
      </text>
    </comment>
    <comment ref="J67" authorId="0" shapeId="0">
      <text>
        <r>
          <rPr>
            <b/>
            <sz val="8"/>
            <color indexed="81"/>
            <rFont val="Tahoma"/>
            <family val="2"/>
          </rPr>
          <t>VMedeiros:</t>
        </r>
        <r>
          <rPr>
            <sz val="8"/>
            <color indexed="81"/>
            <rFont val="Tahoma"/>
            <family val="2"/>
          </rPr>
          <t xml:space="preserve">
Manteve-se o preço do Boletim Sinfra Abril /2007, com INCC de 16,18%</t>
        </r>
      </text>
    </comment>
    <comment ref="J69"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70"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71" authorId="0" shapeId="0">
      <text>
        <r>
          <rPr>
            <b/>
            <sz val="8"/>
            <color indexed="81"/>
            <rFont val="Tahoma"/>
            <family val="2"/>
          </rPr>
          <t>VMedeiros:</t>
        </r>
        <r>
          <rPr>
            <sz val="8"/>
            <color indexed="81"/>
            <rFont val="Tahoma"/>
            <family val="2"/>
          </rPr>
          <t xml:space="preserve">
Manteve-se o preço do Boletim Sinfra Abril /2007, com INCC de 16,18%</t>
        </r>
      </text>
    </comment>
    <comment ref="J72" authorId="0" shapeId="0">
      <text>
        <r>
          <rPr>
            <b/>
            <sz val="8"/>
            <color indexed="81"/>
            <rFont val="Tahoma"/>
            <family val="2"/>
          </rPr>
          <t>VMedeiros:</t>
        </r>
        <r>
          <rPr>
            <sz val="8"/>
            <color indexed="81"/>
            <rFont val="Tahoma"/>
            <family val="2"/>
          </rPr>
          <t xml:space="preserve">
Manteve-se o preço do Boletim Sinfra Abril /2007, com INCC de 16,18%</t>
        </r>
      </text>
    </comment>
    <comment ref="J73" authorId="0" shapeId="0">
      <text>
        <r>
          <rPr>
            <b/>
            <sz val="8"/>
            <color indexed="81"/>
            <rFont val="Tahoma"/>
            <family val="2"/>
          </rPr>
          <t>VMedeiros:</t>
        </r>
        <r>
          <rPr>
            <sz val="8"/>
            <color indexed="81"/>
            <rFont val="Tahoma"/>
            <family val="2"/>
          </rPr>
          <t xml:space="preserve">
Manteve-se o preço do Boletim Sinfra Abril /2007, com INCC de 16,18%</t>
        </r>
      </text>
    </comment>
    <comment ref="J74" authorId="0" shapeId="0">
      <text>
        <r>
          <rPr>
            <b/>
            <sz val="8"/>
            <color indexed="81"/>
            <rFont val="Tahoma"/>
            <family val="2"/>
          </rPr>
          <t>VMedeiros:</t>
        </r>
        <r>
          <rPr>
            <sz val="8"/>
            <color indexed="81"/>
            <rFont val="Tahoma"/>
            <family val="2"/>
          </rPr>
          <t xml:space="preserve">
Manteve-se o preço do Boletim Sinfra Abril /2007, com INCC de 16,18%</t>
        </r>
      </text>
    </comment>
    <comment ref="J75" authorId="0" shapeId="0">
      <text>
        <r>
          <rPr>
            <b/>
            <sz val="8"/>
            <color indexed="81"/>
            <rFont val="Tahoma"/>
            <family val="2"/>
          </rPr>
          <t>VMedeiros:</t>
        </r>
        <r>
          <rPr>
            <sz val="8"/>
            <color indexed="81"/>
            <rFont val="Tahoma"/>
            <family val="2"/>
          </rPr>
          <t xml:space="preserve">
Manteve-se o preço do Boletim Sinfra Abril /2007, com INCC de 16,18%</t>
        </r>
      </text>
    </comment>
    <comment ref="J76" authorId="0" shapeId="0">
      <text>
        <r>
          <rPr>
            <b/>
            <sz val="8"/>
            <color indexed="81"/>
            <rFont val="Tahoma"/>
            <family val="2"/>
          </rPr>
          <t>VMedeiros:</t>
        </r>
        <r>
          <rPr>
            <sz val="8"/>
            <color indexed="81"/>
            <rFont val="Tahoma"/>
            <family val="2"/>
          </rPr>
          <t xml:space="preserve">
Manteve-se o preço do Boletim Sinfra Abril /2007, com INCC de 16,18%</t>
        </r>
      </text>
    </comment>
    <comment ref="J77" authorId="0" shapeId="0">
      <text>
        <r>
          <rPr>
            <b/>
            <sz val="8"/>
            <color indexed="81"/>
            <rFont val="Tahoma"/>
            <family val="2"/>
          </rPr>
          <t>VMedeiros:</t>
        </r>
        <r>
          <rPr>
            <sz val="8"/>
            <color indexed="81"/>
            <rFont val="Tahoma"/>
            <family val="2"/>
          </rPr>
          <t xml:space="preserve">
Manteve-se o preço do Boletim Sinfra Abril /2007, com INCC de 16,18%</t>
        </r>
      </text>
    </comment>
    <comment ref="J78" authorId="0" shapeId="0">
      <text>
        <r>
          <rPr>
            <b/>
            <sz val="8"/>
            <color indexed="81"/>
            <rFont val="Tahoma"/>
            <family val="2"/>
          </rPr>
          <t>VMedeiros:</t>
        </r>
        <r>
          <rPr>
            <sz val="8"/>
            <color indexed="81"/>
            <rFont val="Tahoma"/>
            <family val="2"/>
          </rPr>
          <t xml:space="preserve">
Manteve-se o preço do Boletim Sinfra Abril /2007, com INCC de 16,18%</t>
        </r>
      </text>
    </comment>
    <comment ref="J79" authorId="0" shapeId="0">
      <text>
        <r>
          <rPr>
            <b/>
            <sz val="8"/>
            <color indexed="81"/>
            <rFont val="Tahoma"/>
            <family val="2"/>
          </rPr>
          <t>VMedeiros:</t>
        </r>
        <r>
          <rPr>
            <sz val="8"/>
            <color indexed="81"/>
            <rFont val="Tahoma"/>
            <family val="2"/>
          </rPr>
          <t xml:space="preserve">
Manteve-se o preço do Boletim Sinfra Abril /2007, com INCC de 16,18%</t>
        </r>
      </text>
    </comment>
    <comment ref="J80" authorId="0" shapeId="0">
      <text>
        <r>
          <rPr>
            <b/>
            <sz val="8"/>
            <color indexed="81"/>
            <rFont val="Tahoma"/>
            <family val="2"/>
          </rPr>
          <t>VMedeiros:</t>
        </r>
        <r>
          <rPr>
            <sz val="8"/>
            <color indexed="81"/>
            <rFont val="Tahoma"/>
            <family val="2"/>
          </rPr>
          <t xml:space="preserve">
Manteve-se o preço do Boletim Sinfra Abril /2007, com INCC de 16,18%</t>
        </r>
      </text>
    </comment>
    <comment ref="J83" authorId="0" shapeId="0">
      <text>
        <r>
          <rPr>
            <b/>
            <sz val="8"/>
            <color indexed="81"/>
            <rFont val="Tahoma"/>
            <family val="2"/>
          </rPr>
          <t>VMedeiros:</t>
        </r>
        <r>
          <rPr>
            <sz val="8"/>
            <color indexed="81"/>
            <rFont val="Tahoma"/>
            <family val="2"/>
          </rPr>
          <t xml:space="preserve">
Manteve-se o preço do Boletim Sinfra Abril /2007, com INCC de 16,18%</t>
        </r>
      </text>
    </comment>
    <comment ref="J84" authorId="0" shapeId="0">
      <text>
        <r>
          <rPr>
            <b/>
            <sz val="8"/>
            <color indexed="81"/>
            <rFont val="Tahoma"/>
            <family val="2"/>
          </rPr>
          <t>VMedeiros:</t>
        </r>
        <r>
          <rPr>
            <sz val="8"/>
            <color indexed="81"/>
            <rFont val="Tahoma"/>
            <family val="2"/>
          </rPr>
          <t xml:space="preserve">
Manteve-se o preço do Boletim Sinfra Abril /2007, com INCC de 16,18%</t>
        </r>
      </text>
    </comment>
    <comment ref="J85" authorId="0" shapeId="0">
      <text>
        <r>
          <rPr>
            <b/>
            <sz val="8"/>
            <color indexed="81"/>
            <rFont val="Tahoma"/>
            <family val="2"/>
          </rPr>
          <t>VMedeiros:</t>
        </r>
        <r>
          <rPr>
            <sz val="8"/>
            <color indexed="81"/>
            <rFont val="Tahoma"/>
            <family val="2"/>
          </rPr>
          <t xml:space="preserve">
Manteve-se o preço do Boletim Sinfra Abril /2007, com INCC de 16,18%</t>
        </r>
      </text>
    </comment>
    <comment ref="J86"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87"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88"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89"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0"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1"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2"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3"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4"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5"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6" authorId="0" shapeId="0">
      <text>
        <r>
          <rPr>
            <b/>
            <sz val="8"/>
            <color indexed="81"/>
            <rFont val="Tahoma"/>
            <family val="2"/>
          </rPr>
          <t>VMedeiros:</t>
        </r>
        <r>
          <rPr>
            <sz val="8"/>
            <color indexed="81"/>
            <rFont val="Tahoma"/>
            <family val="2"/>
          </rPr>
          <t xml:space="preserve">
Manteve-se o preço do Boletim Sinfra Abril /2007, com INCC de 16,18%</t>
        </r>
      </text>
    </comment>
    <comment ref="J97"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8"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99" authorId="0" shapeId="0">
      <text>
        <r>
          <rPr>
            <b/>
            <sz val="8"/>
            <color indexed="81"/>
            <rFont val="Tahoma"/>
            <family val="2"/>
          </rPr>
          <t>VMedeiros:</t>
        </r>
        <r>
          <rPr>
            <sz val="8"/>
            <color indexed="81"/>
            <rFont val="Tahoma"/>
            <family val="2"/>
          </rPr>
          <t xml:space="preserve">
Manteve-se o preço do Boletim Sinfra Abril /2007, com INCC de 16,18%</t>
        </r>
      </text>
    </comment>
    <comment ref="J100"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01"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02" authorId="0" shapeId="0">
      <text>
        <r>
          <rPr>
            <b/>
            <sz val="8"/>
            <color indexed="81"/>
            <rFont val="Tahoma"/>
            <family val="2"/>
          </rPr>
          <t>VMedeiros:</t>
        </r>
        <r>
          <rPr>
            <sz val="8"/>
            <color indexed="81"/>
            <rFont val="Tahoma"/>
            <family val="2"/>
          </rPr>
          <t xml:space="preserve">
Manteve-se o preço do Boletim Sinfra Abril /2007, com INCC de 16,18%</t>
        </r>
      </text>
    </comment>
    <comment ref="J103"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04" authorId="0" shapeId="0">
      <text>
        <r>
          <rPr>
            <b/>
            <sz val="8"/>
            <color indexed="81"/>
            <rFont val="Tahoma"/>
            <family val="2"/>
          </rPr>
          <t>VMedeiros:</t>
        </r>
        <r>
          <rPr>
            <sz val="8"/>
            <color indexed="81"/>
            <rFont val="Tahoma"/>
            <family val="2"/>
          </rPr>
          <t xml:space="preserve">
Manteve-se o preço do Boletim Sinfra Abril /2007, com INCC de 16,18%</t>
        </r>
      </text>
    </comment>
    <comment ref="J105" authorId="0" shapeId="0">
      <text>
        <r>
          <rPr>
            <b/>
            <sz val="8"/>
            <color indexed="81"/>
            <rFont val="Tahoma"/>
            <family val="2"/>
          </rPr>
          <t>VMedeiros:</t>
        </r>
        <r>
          <rPr>
            <sz val="8"/>
            <color indexed="81"/>
            <rFont val="Tahoma"/>
            <family val="2"/>
          </rPr>
          <t xml:space="preserve">
Manteve-se o preço do Boletim Sinfra Abril /2007, com INCC de 16,18%</t>
        </r>
      </text>
    </comment>
    <comment ref="J106"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08"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09"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10"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11" authorId="0" shapeId="0">
      <text>
        <r>
          <rPr>
            <b/>
            <sz val="8"/>
            <color indexed="81"/>
            <rFont val="Tahoma"/>
            <family val="2"/>
          </rPr>
          <t>VMedeiros:</t>
        </r>
        <r>
          <rPr>
            <sz val="8"/>
            <color indexed="81"/>
            <rFont val="Tahoma"/>
            <family val="2"/>
          </rPr>
          <t xml:space="preserve">
Manteve-se o preço do Boletim Sinfra Abril /2007, com INCC de 16,18%</t>
        </r>
      </text>
    </comment>
    <comment ref="J112"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13"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14"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15" authorId="0" shapeId="0">
      <text>
        <r>
          <rPr>
            <b/>
            <sz val="8"/>
            <color indexed="81"/>
            <rFont val="Tahoma"/>
            <family val="2"/>
          </rPr>
          <t>VMedeiros:</t>
        </r>
        <r>
          <rPr>
            <sz val="8"/>
            <color indexed="81"/>
            <rFont val="Tahoma"/>
            <family val="2"/>
          </rPr>
          <t xml:space="preserve">
Manteve-se o preço do Boletim Sinfra Abril /2007, com INCC de 16,18%</t>
        </r>
      </text>
    </comment>
    <comment ref="J116" authorId="0" shapeId="0">
      <text>
        <r>
          <rPr>
            <b/>
            <sz val="8"/>
            <color indexed="81"/>
            <rFont val="Tahoma"/>
            <family val="2"/>
          </rPr>
          <t>VMedeiros:</t>
        </r>
        <r>
          <rPr>
            <sz val="8"/>
            <color indexed="81"/>
            <rFont val="Tahoma"/>
            <family val="2"/>
          </rPr>
          <t xml:space="preserve">
Manteve-se o preço do Boletim Sinfra Abril /2007, com INCC de 16,18%</t>
        </r>
      </text>
    </comment>
    <comment ref="J117" authorId="0" shapeId="0">
      <text>
        <r>
          <rPr>
            <b/>
            <sz val="8"/>
            <color indexed="81"/>
            <rFont val="Tahoma"/>
            <family val="2"/>
          </rPr>
          <t>VMedeiros:</t>
        </r>
        <r>
          <rPr>
            <sz val="8"/>
            <color indexed="81"/>
            <rFont val="Tahoma"/>
            <family val="2"/>
          </rPr>
          <t xml:space="preserve">
Manteve-se o preço do Boletim Sinfra Abril /2007, com INCC de 16,18%</t>
        </r>
      </text>
    </comment>
    <comment ref="J118"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19" authorId="0" shapeId="0">
      <text>
        <r>
          <rPr>
            <b/>
            <sz val="8"/>
            <color indexed="81"/>
            <rFont val="Tahoma"/>
            <family val="2"/>
          </rPr>
          <t>VMedeiros:</t>
        </r>
        <r>
          <rPr>
            <sz val="8"/>
            <color indexed="81"/>
            <rFont val="Tahoma"/>
            <family val="2"/>
          </rPr>
          <t xml:space="preserve">
Manteve-se o preço do Boletim Sinfra Abril /2007, com INCC de 16,18%</t>
        </r>
      </text>
    </comment>
    <comment ref="J120" authorId="0" shapeId="0">
      <text>
        <r>
          <rPr>
            <b/>
            <sz val="8"/>
            <color indexed="81"/>
            <rFont val="Tahoma"/>
            <family val="2"/>
          </rPr>
          <t>VMedeiros:</t>
        </r>
        <r>
          <rPr>
            <sz val="8"/>
            <color indexed="81"/>
            <rFont val="Tahoma"/>
            <family val="2"/>
          </rPr>
          <t xml:space="preserve">
Manteve-se o preço do Boletim Sinfra Abril /2007, com INCC de 16,18%</t>
        </r>
      </text>
    </comment>
    <comment ref="J121" authorId="0" shapeId="0">
      <text>
        <r>
          <rPr>
            <b/>
            <sz val="8"/>
            <color indexed="81"/>
            <rFont val="Tahoma"/>
            <family val="2"/>
          </rPr>
          <t>VMedeiros:</t>
        </r>
        <r>
          <rPr>
            <sz val="8"/>
            <color indexed="81"/>
            <rFont val="Tahoma"/>
            <family val="2"/>
          </rPr>
          <t xml:space="preserve">
Manteve-se o preço do Boletim Sinfra Abril /2007, com INCC de 16,18%</t>
        </r>
      </text>
    </comment>
    <comment ref="J122"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23"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24" authorId="0" shapeId="0">
      <text>
        <r>
          <rPr>
            <b/>
            <sz val="8"/>
            <color indexed="81"/>
            <rFont val="Tahoma"/>
            <family val="2"/>
          </rPr>
          <t>VMedeiros:</t>
        </r>
        <r>
          <rPr>
            <sz val="8"/>
            <color indexed="81"/>
            <rFont val="Tahoma"/>
            <family val="2"/>
          </rPr>
          <t xml:space="preserve">
Manteve-se o preço do Boletim Seduc de Instalações Elétricas, com INCC de 16,18%</t>
        </r>
      </text>
    </comment>
    <comment ref="J125" authorId="0" shapeId="0">
      <text>
        <r>
          <rPr>
            <b/>
            <sz val="8"/>
            <color indexed="81"/>
            <rFont val="Tahoma"/>
            <family val="2"/>
          </rPr>
          <t>VMedeiros:</t>
        </r>
        <r>
          <rPr>
            <sz val="8"/>
            <color indexed="81"/>
            <rFont val="Tahoma"/>
            <family val="2"/>
          </rPr>
          <t xml:space="preserve">
Manteve-se o preço do Boletim Sinfra Abril /2007, com INCC de 16,18%</t>
        </r>
      </text>
    </comment>
  </commentList>
</comments>
</file>

<file path=xl/comments3.xml><?xml version="1.0" encoding="utf-8"?>
<comments xmlns="http://schemas.openxmlformats.org/spreadsheetml/2006/main">
  <authors>
    <author>nasantos</author>
  </authors>
  <commentList>
    <comment ref="F9" authorId="0" shapeId="0">
      <text>
        <r>
          <rPr>
            <b/>
            <sz val="10"/>
            <color indexed="81"/>
            <rFont val="Tahoma"/>
            <family val="2"/>
          </rPr>
          <t>os itens que estão na cor azul foi considerado boletim de abril/07 com incc 16,18%, ou seja multiplicamos por 1,25</t>
        </r>
        <r>
          <rPr>
            <b/>
            <sz val="8"/>
            <color indexed="81"/>
            <rFont val="Tahoma"/>
            <family val="2"/>
          </rPr>
          <t xml:space="preserve">
</t>
        </r>
      </text>
    </comment>
  </commentList>
</comments>
</file>

<file path=xl/sharedStrings.xml><?xml version="1.0" encoding="utf-8"?>
<sst xmlns="http://schemas.openxmlformats.org/spreadsheetml/2006/main" count="8230" uniqueCount="1680">
  <si>
    <t>ESTADO DE MATO GROSSO</t>
  </si>
  <si>
    <t xml:space="preserve">SECRETARIA DE ESTADO DE EDUCAÇÃO </t>
  </si>
  <si>
    <t>Secretaria Adjunta de Estrutura Escolar</t>
  </si>
  <si>
    <t>CENTRO POLÍTICO ADMINISTRATIVO - RUA B - CPA - 3613-6337</t>
  </si>
  <si>
    <t>CUIABÁ - MATO GROSSO</t>
  </si>
  <si>
    <t>BOLETIM DE MEDIÇÃO</t>
  </si>
  <si>
    <t>Assunto:</t>
  </si>
  <si>
    <t>12ª Medição</t>
  </si>
  <si>
    <t>Data da Medição:</t>
  </si>
  <si>
    <t>Data Ordem Serviço:</t>
  </si>
  <si>
    <t>Prazo Execução:</t>
  </si>
  <si>
    <t>Valor do Contrato:</t>
  </si>
  <si>
    <t>Valor do Aditivo:</t>
  </si>
  <si>
    <t>ITEM</t>
  </si>
  <si>
    <t>PLANILHA CONSOLIDADA</t>
  </si>
  <si>
    <t>VALOR CONTRATO + ADITIVO (R$)</t>
  </si>
  <si>
    <t>%</t>
  </si>
  <si>
    <t>MEDIÇÃO DO CONTRATO (R$)</t>
  </si>
  <si>
    <t>MEDIÇÃO DO ADITIVO (R$)</t>
  </si>
  <si>
    <t>ACUMULADO TOTAL (R$)</t>
  </si>
  <si>
    <t>SALDO CONTRATUAL (R$)</t>
  </si>
  <si>
    <t>TOTAL</t>
  </si>
  <si>
    <t>VALOR DA FATURA:</t>
  </si>
  <si>
    <t>SALDO LÍQUIDO:</t>
  </si>
  <si>
    <t>IMPORTA O VALOR LÍQUIDO A PAGAR:</t>
  </si>
  <si>
    <t>FISCAL DE OBRAS</t>
  </si>
  <si>
    <t>COORDENADOR DE OBRAS</t>
  </si>
  <si>
    <t>GERENTE DE PROJETO PTA / LOA</t>
  </si>
  <si>
    <t>11ª Medição</t>
  </si>
  <si>
    <t>10ª Medição</t>
  </si>
  <si>
    <t>9ª Medição</t>
  </si>
  <si>
    <t>8ª Medição</t>
  </si>
  <si>
    <t>7ª Medição</t>
  </si>
  <si>
    <t>6ª Medição</t>
  </si>
  <si>
    <t>5ª Medição</t>
  </si>
  <si>
    <t>4ª Medição</t>
  </si>
  <si>
    <t>3ª Medição</t>
  </si>
  <si>
    <t>2ª Medição</t>
  </si>
  <si>
    <r>
      <t xml:space="preserve">Termo de </t>
    </r>
    <r>
      <rPr>
        <b/>
        <sz val="13"/>
        <color indexed="12"/>
        <rFont val="Arial"/>
        <family val="2"/>
      </rPr>
      <t>Contrato:</t>
    </r>
  </si>
  <si>
    <t>37/2008</t>
  </si>
  <si>
    <t>1ª Medição</t>
  </si>
  <si>
    <t>2.0</t>
  </si>
  <si>
    <t>DEDUÇÃO DA 1ª PARCELA 20%:</t>
  </si>
  <si>
    <t>OBRA:</t>
  </si>
  <si>
    <t>ENDEREÇO:</t>
  </si>
  <si>
    <t>BDI:</t>
  </si>
  <si>
    <t>MUNICÍPIO:</t>
  </si>
  <si>
    <t>DATA:</t>
  </si>
  <si>
    <t>ASSUNTO:</t>
  </si>
  <si>
    <t xml:space="preserve">RESUMO DA PLANILHA ORÇAMENTARIA </t>
  </si>
  <si>
    <t xml:space="preserve">ITEM </t>
  </si>
  <si>
    <t xml:space="preserve">ETAPAS </t>
  </si>
  <si>
    <t xml:space="preserve">VALOR </t>
  </si>
  <si>
    <t>1.0</t>
  </si>
  <si>
    <t>TOTAL DA OBRA</t>
  </si>
  <si>
    <t xml:space="preserve"> </t>
  </si>
  <si>
    <t>GOVERNO DO ESTADO DE MATO GROSSO</t>
  </si>
  <si>
    <t>INCC:</t>
  </si>
  <si>
    <t>USO DA LICITAÇÃO</t>
  </si>
  <si>
    <t>Código Tarefa
Boletim Sinfra Setembro/08</t>
  </si>
  <si>
    <t>Cód. Composição
Boletim Sinfra Setembro/08</t>
  </si>
  <si>
    <t xml:space="preserve">ESPECIFICAÇÃO DE SERVIÇOS E MATERIAL </t>
  </si>
  <si>
    <t>UND</t>
  </si>
  <si>
    <t>Custo do Serviço
sem BDI</t>
  </si>
  <si>
    <t>QUANTIDADE</t>
  </si>
  <si>
    <t>VALORES (R$)</t>
  </si>
  <si>
    <t>1ª MEDIÇÃO</t>
  </si>
  <si>
    <t>2ª MEDIÇÃO</t>
  </si>
  <si>
    <t>3ª MEDIÇÃO</t>
  </si>
  <si>
    <t>4ª MEDIÇÃO</t>
  </si>
  <si>
    <t>5ª MEDIÇÃO</t>
  </si>
  <si>
    <t>6ª MEDIÇÃO</t>
  </si>
  <si>
    <t>7ª MEDIÇÃO</t>
  </si>
  <si>
    <t>8ª MEDIÇÃO</t>
  </si>
  <si>
    <t>9ª MEDIÇÃO</t>
  </si>
  <si>
    <t>10ª MEDIÇÃO</t>
  </si>
  <si>
    <t>11ª MEDIÇÃO</t>
  </si>
  <si>
    <t>12ª MEDIÇÃO</t>
  </si>
  <si>
    <t>ACUMULADO TOTAL</t>
  </si>
  <si>
    <t>SALDO CONTRATUAL</t>
  </si>
  <si>
    <t>Item</t>
  </si>
  <si>
    <t>Limite Superior Unitário</t>
  </si>
  <si>
    <t>Proposta 1</t>
  </si>
  <si>
    <t>Proposta 2</t>
  </si>
  <si>
    <t>Proposta 3</t>
  </si>
  <si>
    <t>Proposta 4</t>
  </si>
  <si>
    <t>FÍSICO %</t>
  </si>
  <si>
    <t>QUANT.</t>
  </si>
  <si>
    <t>PREÇO R$</t>
  </si>
  <si>
    <t>CONTRATO</t>
  </si>
  <si>
    <t>REVISADA</t>
  </si>
  <si>
    <t>ADITIVO</t>
  </si>
  <si>
    <t>UNITÁRIO</t>
  </si>
  <si>
    <t>SERVIÇOS  PRELIMINARES</t>
  </si>
  <si>
    <t>1.1</t>
  </si>
  <si>
    <t>1.06.120.0015</t>
  </si>
  <si>
    <t>06 S 120 0015</t>
  </si>
  <si>
    <t>Tapume de chapa de madeira compensada, inclusive montagem - madeira
 compensada resinada e=6 mm</t>
  </si>
  <si>
    <t>M2</t>
  </si>
  <si>
    <t>1.2</t>
  </si>
  <si>
    <t>1.01.700.0005</t>
  </si>
  <si>
    <t>01 S 700 0005</t>
  </si>
  <si>
    <t>Abrigo provisório de madeira executado na obra para alojamento e depósito
 de materiais e ferramentas</t>
  </si>
  <si>
    <t>1.3</t>
  </si>
  <si>
    <t>************</t>
  </si>
  <si>
    <t>Fornecimento e Instalação de Placa de Obra Modelo 05 Obras Públicas Dim. 5,00 x 2,50 m</t>
  </si>
  <si>
    <t>1.4</t>
  </si>
  <si>
    <t>1.01.510.0005</t>
  </si>
  <si>
    <t>01 S 510 0005</t>
  </si>
  <si>
    <t>Ligação provisória de água para obra e instalação sanitária provisória, pequenas obras
 (instalação mínima)</t>
  </si>
  <si>
    <t>UN</t>
  </si>
  <si>
    <t>1.5</t>
  </si>
  <si>
    <t>1.01.520.0005</t>
  </si>
  <si>
    <t>01 S 520 0005</t>
  </si>
  <si>
    <t>Ligação provisória de luz e força para obra (instalação mínima)</t>
  </si>
  <si>
    <t>1.6</t>
  </si>
  <si>
    <t>1.14.520.0005</t>
  </si>
  <si>
    <t>14 S 520 0005</t>
  </si>
  <si>
    <t>Carga manual de entulho em caminhão basculante</t>
  </si>
  <si>
    <t>M3</t>
  </si>
  <si>
    <t>1.7</t>
  </si>
  <si>
    <t>1.01.010.0030</t>
  </si>
  <si>
    <t>01 S 010 0030</t>
  </si>
  <si>
    <t>Administração Local da Obra</t>
  </si>
  <si>
    <t>mês</t>
  </si>
  <si>
    <t>SUBTOTAL</t>
  </si>
  <si>
    <t>SERVIÇOS DE DEMOLIÇÃO E RETIRADA</t>
  </si>
  <si>
    <t>2.1</t>
  </si>
  <si>
    <t>1.02.220.0010</t>
  </si>
  <si>
    <t>02 S 220 0010</t>
  </si>
  <si>
    <t>Demolição de alvenaria de tijolo comum, sem reaproveitamento</t>
  </si>
  <si>
    <t>2.2</t>
  </si>
  <si>
    <t>1.02.220.0045</t>
  </si>
  <si>
    <t>02 S 220 0045</t>
  </si>
  <si>
    <t>Demolição de estrutura de madeira para telhado</t>
  </si>
  <si>
    <t>2.3</t>
  </si>
  <si>
    <t>1.02.220.0020</t>
  </si>
  <si>
    <t>02 S 220 0020</t>
  </si>
  <si>
    <t>Demolição de cobertura de telha cerâmica</t>
  </si>
  <si>
    <t>2.4</t>
  </si>
  <si>
    <t>1.02.230.0020</t>
  </si>
  <si>
    <t>02 S 230 0020</t>
  </si>
  <si>
    <t>Remoção de esquadria metálica com ou sem reaproveitamento</t>
  </si>
  <si>
    <t>2.5</t>
  </si>
  <si>
    <t>1.02.230.0065</t>
  </si>
  <si>
    <t>02 S 230 0065</t>
  </si>
  <si>
    <t>Remoção de esquadria de madeira, inclusive batente</t>
  </si>
  <si>
    <t>2.6</t>
  </si>
  <si>
    <t>1.02.220.0115</t>
  </si>
  <si>
    <t>02 S 220 0115</t>
  </si>
  <si>
    <t>Demolição de revestimento com argamassa</t>
  </si>
  <si>
    <t>2.7</t>
  </si>
  <si>
    <t>1.02.220.0120</t>
  </si>
  <si>
    <t>02 S 220 0120</t>
  </si>
  <si>
    <t>Demolição de revestimento de azulejo</t>
  </si>
  <si>
    <t>2.8</t>
  </si>
  <si>
    <t>1.02.220.0085</t>
  </si>
  <si>
    <t>02 S 220 0085</t>
  </si>
  <si>
    <t>Demolição de piso cimentado sobre lastro de concreto</t>
  </si>
  <si>
    <t>2.9</t>
  </si>
  <si>
    <t>1.02.220.0095</t>
  </si>
  <si>
    <t>02 S 220 0095</t>
  </si>
  <si>
    <t>Demolição de piso cerâmico</t>
  </si>
  <si>
    <t>2.10</t>
  </si>
  <si>
    <t>1.02.220.0105</t>
  </si>
  <si>
    <t>02 S 220 0105</t>
  </si>
  <si>
    <t>Demolição de piso revestido com granilite</t>
  </si>
  <si>
    <t>2.11</t>
  </si>
  <si>
    <t>1.02.230.0045</t>
  </si>
  <si>
    <t>02 S 230 0045</t>
  </si>
  <si>
    <t>Remoção de pintura a óleo ou esmalte</t>
  </si>
  <si>
    <t>3.0</t>
  </si>
  <si>
    <t>MOVIMENTO DE SOLOS</t>
  </si>
  <si>
    <t>3.1</t>
  </si>
  <si>
    <t>1.02.310.0035</t>
  </si>
  <si>
    <t>02 S 310 0035</t>
  </si>
  <si>
    <t>Escavação manual de vala em solo de 1a categoria, profundidade até 2 m</t>
  </si>
  <si>
    <t>3.2</t>
  </si>
  <si>
    <t>1.02.310.0175</t>
  </si>
  <si>
    <t>02 S 310 0175</t>
  </si>
  <si>
    <t>Apiloamento de fundo de vala com maço de 30 kg</t>
  </si>
  <si>
    <t>3.3</t>
  </si>
  <si>
    <t>Aquisição de material para aterro</t>
  </si>
  <si>
    <t>3.4</t>
  </si>
  <si>
    <t>1.14.520.0015</t>
  </si>
  <si>
    <t>14 S 520 0015</t>
  </si>
  <si>
    <t>Carga manual de terra em caminhão basculante</t>
  </si>
  <si>
    <t>3.5</t>
  </si>
  <si>
    <t>1.14.510.0110</t>
  </si>
  <si>
    <t>14 S 510 0110</t>
  </si>
  <si>
    <t>Transporte e descarga de terra em caminhão fora-de-estrada de 24,8 m3, distância até 
2 km</t>
  </si>
  <si>
    <t>3.6</t>
  </si>
  <si>
    <t>1.02.310.0180</t>
  </si>
  <si>
    <t>02 S 310 0180</t>
  </si>
  <si>
    <t>Compactação de aterro</t>
  </si>
  <si>
    <t>3.7</t>
  </si>
  <si>
    <t>1.02.310.0165</t>
  </si>
  <si>
    <t>02 S 310 0165</t>
  </si>
  <si>
    <t>Reaterro manual de vala</t>
  </si>
  <si>
    <t>4.0</t>
  </si>
  <si>
    <t>INFRA - ESTRUTURA</t>
  </si>
  <si>
    <t>4.1</t>
  </si>
  <si>
    <t>1.02.710.0025</t>
  </si>
  <si>
    <t>02 S 710 0025</t>
  </si>
  <si>
    <t>Lastro de concreto, incluindo preparo e lançamento</t>
  </si>
  <si>
    <t>4.2</t>
  </si>
  <si>
    <t>1.03.310.0090</t>
  </si>
  <si>
    <t>03 S 310 0090</t>
  </si>
  <si>
    <t>Concreto estrutural virado em obra, controle A, consistência para vibração, brita 1 e 2, fck 20 mpa</t>
  </si>
  <si>
    <t>4.3</t>
  </si>
  <si>
    <t>1.03.310.0325</t>
  </si>
  <si>
    <t>03 S 315 0010</t>
  </si>
  <si>
    <t>Transporte, lançamento, adensamento e acabamento do concreto em fundação</t>
  </si>
  <si>
    <t>4.4</t>
  </si>
  <si>
    <t>1.03.110.0015</t>
  </si>
  <si>
    <t>03 S 110 0015</t>
  </si>
  <si>
    <t>Forma de madeira para Fundação com tábua de 3a, 5 reaproveitamentos</t>
  </si>
  <si>
    <t>4.5</t>
  </si>
  <si>
    <t>1.03.210.0015</t>
  </si>
  <si>
    <t>03 S 210 0015</t>
  </si>
  <si>
    <t>Armadura de aço para estruturas em geral, CA-50 Ø 8 mm, corte e dobra na obra</t>
  </si>
  <si>
    <t>KG</t>
  </si>
  <si>
    <t>4.6</t>
  </si>
  <si>
    <t>1.03.210.0030</t>
  </si>
  <si>
    <t>03 S 210 0030</t>
  </si>
  <si>
    <t>Armadura de aço para estruturas em geral, CA-60 Ø 6,3 mm, corte e dobra na obra</t>
  </si>
  <si>
    <t>kg</t>
  </si>
  <si>
    <t>5.0</t>
  </si>
  <si>
    <t>MESO E SUPER - ESTRUTURA</t>
  </si>
  <si>
    <t>5.1</t>
  </si>
  <si>
    <t>1.03.310.0045</t>
  </si>
  <si>
    <t>03 S 310 0045</t>
  </si>
  <si>
    <t>Concreto estrutural virado em obra, controle A, consistência para vibração, brita 1,
 fck 25 mpa</t>
  </si>
  <si>
    <t>5.2</t>
  </si>
  <si>
    <t>1.03.310.0320</t>
  </si>
  <si>
    <t>03 S 315 0005</t>
  </si>
  <si>
    <t>Transporte, lançamento, adensamento e acabamento do concreto em estrutura</t>
  </si>
  <si>
    <t>5.3</t>
  </si>
  <si>
    <t>1.03.110.0020</t>
  </si>
  <si>
    <t>03 S 110 0020</t>
  </si>
  <si>
    <t>Forma de madeira para estruturas em geral com tábua de 3a, 2 reaproveitamentos</t>
  </si>
  <si>
    <t>5.4</t>
  </si>
  <si>
    <t>5.5</t>
  </si>
  <si>
    <t>6.0</t>
  </si>
  <si>
    <t>IMPERMEABILIZAÇÃO, TRATAMENTOS E ISOLAMENTOS TÉRMICOS</t>
  </si>
  <si>
    <t>6.1</t>
  </si>
  <si>
    <t>1.07.110.0025</t>
  </si>
  <si>
    <t>07 S 110 0025</t>
  </si>
  <si>
    <t>Impermeabilização de piso com três demãos de emulsão asfáltica</t>
  </si>
  <si>
    <t>7.0</t>
  </si>
  <si>
    <t>ELEMENTOS DE VEDAÇÃO</t>
  </si>
  <si>
    <t>7.1</t>
  </si>
  <si>
    <t>1.04.210.0095</t>
  </si>
  <si>
    <t>04 S 210 0095</t>
  </si>
  <si>
    <t>Alvenaria de vedação com tijolo cerâmico furado 9 x 19 x 19 cm, espessura da parede 9 cm, juntas de 12 mm com argamassa mista de cimento, cal hidratada e areia sem peneirar traço 1:2:8 - tipo 1 -</t>
  </si>
  <si>
    <t>7.2</t>
  </si>
  <si>
    <t>1.04.210.0100</t>
  </si>
  <si>
    <t>04 S 210 0100</t>
  </si>
  <si>
    <t>Alvenaria de vedação com tijolo cerâmico furado 9 x 19 x 19 cm, espessura da parede 19 cm, juntas de 12 mm com argamassa mista de cimento, cal hidratada e areia sem peneirar traço 1:2:8 - tipo 1 -</t>
  </si>
  <si>
    <t>7.3</t>
  </si>
  <si>
    <t>1.04.130.0005</t>
  </si>
  <si>
    <t>04 S 130 0005</t>
  </si>
  <si>
    <t>Verga reta moldada no local com forma de madeira considerando 5 reaproveitamentos, concreto armado fck = 13,5 mpa, controle tipo b</t>
  </si>
  <si>
    <t>8.0</t>
  </si>
  <si>
    <t>COBERTURA</t>
  </si>
  <si>
    <t>8.1</t>
  </si>
  <si>
    <t>1.06.110.0015</t>
  </si>
  <si>
    <t>06 S 110 0015</t>
  </si>
  <si>
    <t>Estrutura de madeira para telha cerâmica ou de concreto, vão de 10 a 13 m</t>
  </si>
  <si>
    <t>8.2</t>
  </si>
  <si>
    <t>Fornecimento e Instalação de Cobertura com telha ceramica tipo portuguesa, inclinação mínima 35%</t>
  </si>
  <si>
    <t>8.3</t>
  </si>
  <si>
    <t>1.07.310.0130</t>
  </si>
  <si>
    <t>07 S 310 0130</t>
  </si>
  <si>
    <t>Embocamento de cumeeira para telha cerâmica com argamassa de cimento, cal hidratada e areia sem peneirar, no traço 1:2:9</t>
  </si>
  <si>
    <t>M</t>
  </si>
  <si>
    <t>8.4</t>
  </si>
  <si>
    <t>1.07.510.0050</t>
  </si>
  <si>
    <t>07 S 510 0050</t>
  </si>
  <si>
    <t>Rufo de chapa de aço galvanizado n.26 desenvolvimento 25 cm</t>
  </si>
  <si>
    <t>8.5</t>
  </si>
  <si>
    <t>1.07.610.0025</t>
  </si>
  <si>
    <t>07 S 610 0025</t>
  </si>
  <si>
    <t>Calha de chapa galvanizada n.24 desenvolvimento 50 cm</t>
  </si>
  <si>
    <t>8.6</t>
  </si>
  <si>
    <t>Fornecimento e Aplicação de imunização de madeiramento de cobertura ou forro de madeira com aplicação de pentox claro ou similar, de uma a duas demãos</t>
  </si>
  <si>
    <t>8.7</t>
  </si>
  <si>
    <t>Fornecimento e instalação de Acabamento de beiral com tabua trabalhada, tratada e envernizada 1"" x 10""</t>
  </si>
  <si>
    <t>8.8</t>
  </si>
  <si>
    <t>1.15.170.0150</t>
  </si>
  <si>
    <t>15 S 170 0150</t>
  </si>
  <si>
    <t>Joelho 90 de PVC branco ponta bolsa e virola, Ø 100 mm</t>
  </si>
  <si>
    <t>8.9</t>
  </si>
  <si>
    <t>1.15.170.0350</t>
  </si>
  <si>
    <t>15 S 170 0350</t>
  </si>
  <si>
    <t>Tubo de PVC branco, sem conexões, ponta bolsa e virola, Ø 100 mm</t>
  </si>
  <si>
    <t>9.0</t>
  </si>
  <si>
    <t>ESQUADRIAS</t>
  </si>
  <si>
    <t>9.1</t>
  </si>
  <si>
    <r>
      <t xml:space="preserve">Fornecimento e Instalação </t>
    </r>
    <r>
      <rPr>
        <sz val="11"/>
        <color indexed="12"/>
        <rFont val="Arial"/>
        <family val="2"/>
      </rPr>
      <t xml:space="preserve">de 4 Portas (0,90x2,10) </t>
    </r>
    <r>
      <rPr>
        <sz val="11"/>
        <rFont val="Arial"/>
        <family val="2"/>
      </rPr>
      <t>metálica de abrir em chapa dobrada corrugada n 18, com puxador Ǿ 1" e fechadura cilindrica de embutir do tipo tetra, conforme detalhe Caderno Padronização de obras/SEDUC,  página  12 e memorial descritivo.</t>
    </r>
  </si>
  <si>
    <t>9.2</t>
  </si>
  <si>
    <r>
      <t xml:space="preserve">Fornecimento e Instalação </t>
    </r>
    <r>
      <rPr>
        <sz val="11"/>
        <color indexed="12"/>
        <rFont val="Arial"/>
        <family val="2"/>
      </rPr>
      <t xml:space="preserve">de 9 Portas (0,90x2,10) </t>
    </r>
    <r>
      <rPr>
        <sz val="11"/>
        <rFont val="Arial"/>
        <family val="2"/>
      </rPr>
      <t>metálica de abrir em chapa dobrada corrugada n 18, com puxador Ǿ 1" , com visor em vidro 32 x 12 cm e fechadura cilindrica de embutir do tipo tetra, conforme detalhe Caderno Padronização de obras/SEDUC,  página  12 e memorial descritivo.</t>
    </r>
  </si>
  <si>
    <t>9.3</t>
  </si>
  <si>
    <r>
      <t xml:space="preserve">Fornecimento e Instalação </t>
    </r>
    <r>
      <rPr>
        <sz val="11"/>
        <color indexed="12"/>
        <rFont val="Arial"/>
        <family val="2"/>
      </rPr>
      <t xml:space="preserve">de 7 Portas (0,80x2,10) </t>
    </r>
    <r>
      <rPr>
        <sz val="11"/>
        <rFont val="Arial"/>
        <family val="2"/>
      </rPr>
      <t>metálica de abrir em chapa dobrada corrugada n 18, com puxador Ǿ 1" e fechadura cilindrica de embutir do tipo tetra, conforme detalhe Caderno Padronização de obras/SEDUC,  página  12 e memorial descritivo.</t>
    </r>
  </si>
  <si>
    <t>9.4</t>
  </si>
  <si>
    <t>Fornecimento e Instalação de Porta Metálica de Enrolar (1,50x1,20)m em chapa ondulada, c/ Passa Prato em granito larg. 40cm;</t>
  </si>
  <si>
    <t>9.5</t>
  </si>
  <si>
    <r>
      <t>Fornecimento e assentamento</t>
    </r>
    <r>
      <rPr>
        <sz val="11"/>
        <color indexed="12"/>
        <rFont val="Arial"/>
        <family val="2"/>
      </rPr>
      <t xml:space="preserve"> de 7 portas </t>
    </r>
    <r>
      <rPr>
        <sz val="11"/>
        <rFont val="Arial"/>
        <family val="2"/>
      </rPr>
      <t>e montante de alumínio  de</t>
    </r>
    <r>
      <rPr>
        <sz val="11"/>
        <color indexed="12"/>
        <rFont val="Arial"/>
        <family val="2"/>
      </rPr>
      <t xml:space="preserve"> 0,60 x 1,70 m</t>
    </r>
    <r>
      <rPr>
        <sz val="11"/>
        <rFont val="Arial"/>
        <family val="2"/>
      </rPr>
      <t>, suspensa a 10 cm do piso acabado, para os box dos banheiros masculino e feminino, inclusive fechadura tipo ferrolho, conforme memorial descritivo.</t>
    </r>
  </si>
  <si>
    <t>9.6</t>
  </si>
  <si>
    <t>Fornecimento e Instalação de Janela de correr com grade quadriculada  (largura 2,00m x altura 1,20m batente de 12cm) Sasazaki linha Belfort - P = 0,90m</t>
  </si>
  <si>
    <t>9.7</t>
  </si>
  <si>
    <t>Fornecimento e Instalação de Janela Basculante (largura 1,00m x altura 0,60m batente de 2,5cm) Sasazaki - P = 1,50m</t>
  </si>
  <si>
    <t>9.8</t>
  </si>
  <si>
    <t>Fornecimento e Instalação de Janela Basculante (largura 0,60m x altura 0,40m batente de 8cm) Sasazaki  - P = 1,80m</t>
  </si>
  <si>
    <t>10.0</t>
  </si>
  <si>
    <t>REVESTIMENTOS</t>
  </si>
  <si>
    <t>10.1</t>
  </si>
  <si>
    <t>1.09.710.0005</t>
  </si>
  <si>
    <t>09 S 710 0005</t>
  </si>
  <si>
    <t>Chapisco para parede interna ou externa com argamasa de cimento e areia sem 
peneirar traço 1:3, e=5 mm</t>
  </si>
  <si>
    <t>10.2</t>
  </si>
  <si>
    <t>1.09.710.0045</t>
  </si>
  <si>
    <t>09 S 710 0045</t>
  </si>
  <si>
    <t>Reboco massa única para parede interna e externa com argamassa mista de cimento, cal 
hidratada e areia sem peneirar traço 1:2:9, e=20 mm</t>
  </si>
  <si>
    <t>10.3</t>
  </si>
  <si>
    <t>1.09.720.0020</t>
  </si>
  <si>
    <t>09 S 720 0020</t>
  </si>
  <si>
    <t>Azulejo (dimensão mínima 150x150 mm, espessura mínima 4 mm), Cor Clara, assentado com 
argamassa pré-fabricada de cimento colante, juntas a prumo</t>
  </si>
  <si>
    <t>10.4</t>
  </si>
  <si>
    <t>1.09.720.0070</t>
  </si>
  <si>
    <t>09 S 720 0070</t>
  </si>
  <si>
    <t>Rejuntamento de azulejo 15 x 15 cm, com argamassa pré-fabricada, para juntas até 
3 mm</t>
  </si>
  <si>
    <t>10.5</t>
  </si>
  <si>
    <t>1.09.720.0060</t>
  </si>
  <si>
    <t>09 S 720 0060</t>
  </si>
  <si>
    <t>Cantoneira de alumínio para proteção de quinas de superfície revestida com azulejo</t>
  </si>
  <si>
    <t>10.6</t>
  </si>
  <si>
    <t>1.09.630.0010</t>
  </si>
  <si>
    <t>09 S 630 0010</t>
  </si>
  <si>
    <t>Fornecimento e Assentamento de Pastilha de Porcelana (dimensão mínima 100x100 mm, espessura mínima 8 mm), Cor Clara, Assentada Com Argamassa Pré- Fabricada de Cimento Colante, Incl. Rejuntamento</t>
  </si>
  <si>
    <t>11.0</t>
  </si>
  <si>
    <t>PISOS</t>
  </si>
  <si>
    <t>11.1</t>
  </si>
  <si>
    <t>1.02.710.0035</t>
  </si>
  <si>
    <t>02 S 710 0035</t>
  </si>
  <si>
    <t>Lastro de concreto não estrutural impermeabilizado, e=6 cm</t>
  </si>
  <si>
    <t>11.2</t>
  </si>
  <si>
    <t>1.09.670.0015</t>
  </si>
  <si>
    <t>09 S 670 0015</t>
  </si>
  <si>
    <t>Revestimento de piso em granilite fundido no local formando quadros de 2.00 m2 de área ( no máximo) com junta plastica colorida e faixa perimétrica de 30 cm na cor preta, aplicação de 2 demãos de resina acrilica (20% Grana Branca)</t>
  </si>
  <si>
    <t>11.3</t>
  </si>
  <si>
    <t>1.09.670.0020</t>
  </si>
  <si>
    <t>09 S 670 0020</t>
  </si>
  <si>
    <t>Rodapé de granilite pré-moldado com 10 cm de altura, assentado com argamassa 
mista de cimento, cal hidratada e areia sem peneirar traço 1:1:4, embutido</t>
  </si>
  <si>
    <t>11.4</t>
  </si>
  <si>
    <t>1.09.605.0040</t>
  </si>
  <si>
    <t>09 S 605 0040</t>
  </si>
  <si>
    <t>Regularização desempenada de base para revestimento de piso com argamassa de 
cimento e areia sem peneirar traço 1:3, e=3 cm</t>
  </si>
  <si>
    <t>11.5</t>
  </si>
  <si>
    <t>1.09.610.0010</t>
  </si>
  <si>
    <t>09 S 610 0010</t>
  </si>
  <si>
    <r>
      <t xml:space="preserve">Fornecimento e Assentamento de Revestimento com Piso Cerâmico Esmaltado (dimensão mínima 300x300mm, espessura mínima 8 mm, </t>
    </r>
    <r>
      <rPr>
        <b/>
        <sz val="11"/>
        <rFont val="Arial"/>
        <family val="2"/>
      </rPr>
      <t>Barro Branco</t>
    </r>
    <r>
      <rPr>
        <sz val="11"/>
        <rFont val="Arial"/>
        <family val="2"/>
      </rPr>
      <t xml:space="preserve">), PEI 05, Cor </t>
    </r>
    <r>
      <rPr>
        <sz val="11"/>
        <color indexed="12"/>
        <rFont val="Arial"/>
        <family val="2"/>
      </rPr>
      <t xml:space="preserve">Bege </t>
    </r>
    <r>
      <rPr>
        <sz val="11"/>
        <rFont val="Arial"/>
        <family val="2"/>
      </rPr>
      <t>Claro, Assentado Com Argamassa Colante Uso Interno</t>
    </r>
  </si>
  <si>
    <t>11.6</t>
  </si>
  <si>
    <t>1.09.610.0020</t>
  </si>
  <si>
    <t>09 S 610 0020</t>
  </si>
  <si>
    <t>Rejuntamento de piso cerâmico com argamassa pré-fabricada na cor cinza escuro, dimensões mínimas de 300x300 com espessura de 8 mm, espessura da junta: 6 mm</t>
  </si>
  <si>
    <t>11.7</t>
  </si>
  <si>
    <t>1.09.610.0030</t>
  </si>
  <si>
    <t>09 S 610 0030</t>
  </si>
  <si>
    <t>Fornecimento e Assentamento De Rodapé De Piso Cerâmico, altura 7.00 cm, Assentado Com Argamassa Colante, Para Piso Cor Clara, PEI 05, incl Rejuntamento</t>
  </si>
  <si>
    <t>11.8</t>
  </si>
  <si>
    <t>1.09.930.0005</t>
  </si>
  <si>
    <t>09 S 930 0005</t>
  </si>
  <si>
    <t>Tinta a base de resina acrílica e quartzo em piso granilite com duas demãos, inclusive limpeza
 e lixamento</t>
  </si>
  <si>
    <t>12.0</t>
  </si>
  <si>
    <t>FORROS E DIVISÓRIAS</t>
  </si>
  <si>
    <t>12.1</t>
  </si>
  <si>
    <t>1.09.540.0010</t>
  </si>
  <si>
    <t>09 S 540 0010</t>
  </si>
  <si>
    <t>Forro de PVC em painéis lineares encaixados entre si e fixados em estrutura 
de madeira, dimensões 200 x 6000 mm</t>
  </si>
  <si>
    <t>12.2</t>
  </si>
  <si>
    <t>1.10.650.0015</t>
  </si>
  <si>
    <t>10 S 650 0015</t>
  </si>
  <si>
    <t>Divisória sanitária de granito e=3 cm assentada com argamassa no traço 1:3. Cor cinza</t>
  </si>
  <si>
    <t>13.0</t>
  </si>
  <si>
    <t>VIDROS</t>
  </si>
  <si>
    <t>13.1</t>
  </si>
  <si>
    <t>1.08.810.0010</t>
  </si>
  <si>
    <t>08 S 810 0010</t>
  </si>
  <si>
    <t>Vidro fantasia canelado, colocado em caixilho com ou sem baguetes, duas demãos de massa e = 4 mm</t>
  </si>
  <si>
    <t>14.0</t>
  </si>
  <si>
    <t>PINTURA</t>
  </si>
  <si>
    <t>14.1</t>
  </si>
  <si>
    <t>1.09.910.0015</t>
  </si>
  <si>
    <t>09 S 910 0015</t>
  </si>
  <si>
    <t>Emassamento de parede externa e interna com massa acrílica com duas demãos, para pintura Látex</t>
  </si>
  <si>
    <t>14.2</t>
  </si>
  <si>
    <t>1.09.910.0040</t>
  </si>
  <si>
    <t>09 S 910 0040</t>
  </si>
  <si>
    <t>Pintura Em Látex Acrílico (1ª Linha:Renner, Coral ou Suvinil), 02 Demãos Sobre Superfície Previamente Perfeitamente Emassada</t>
  </si>
  <si>
    <t>14.3</t>
  </si>
  <si>
    <r>
      <t>Pintura Com Esmalte Sintético/</t>
    </r>
    <r>
      <rPr>
        <sz val="11"/>
        <color indexed="12"/>
        <rFont val="Arial"/>
        <family val="2"/>
      </rPr>
      <t>Liquibrilho</t>
    </r>
    <r>
      <rPr>
        <sz val="11"/>
        <rFont val="Arial"/>
        <family val="2"/>
      </rPr>
      <t xml:space="preserve"> (1ª Linha Renner, Suvinil ou Ipiranga) em Paredes, incl. lixamento Preliminar, Retoque de Massa Pva, 01 Demão de Fundo Preparador a Base de Água, 02 Demãos de Esmalte Sintético, Aplicação à Rolo</t>
    </r>
  </si>
  <si>
    <t>14.4</t>
  </si>
  <si>
    <t>1.09.970.0050</t>
  </si>
  <si>
    <t>09 S 970 0050</t>
  </si>
  <si>
    <t>Pintura em Esmalte Sintético (1ª Linha:Renner, Suvinil ou Ipiranga) sobre Esquadria Metálica, Alambrado Novo, Estrutura Metálica da Quadra e Telhas Metálicas da quadra, inclusive lixamento uma demão de zarcão laranja, correções de imperfeições e 02 demãos de tinta base de esmalte, pintura executada com compressor e pistola</t>
  </si>
  <si>
    <t>14.5</t>
  </si>
  <si>
    <r>
      <t xml:space="preserve">Tinta a base de resina acrílica e quartzo em </t>
    </r>
    <r>
      <rPr>
        <b/>
        <sz val="11"/>
        <rFont val="Arial"/>
        <family val="2"/>
      </rPr>
      <t>piso interno ou externo</t>
    </r>
    <r>
      <rPr>
        <sz val="11"/>
        <rFont val="Arial"/>
        <family val="2"/>
      </rPr>
      <t xml:space="preserve"> com duas demãos</t>
    </r>
  </si>
  <si>
    <t>14.6</t>
  </si>
  <si>
    <t>1.09.930.0015</t>
  </si>
  <si>
    <t>09 S 930 0015</t>
  </si>
  <si>
    <t>Tinta acrílica em piso para faixas de demarcação, com faixas de 5 cm de largura, 
aplicada com trincha</t>
  </si>
  <si>
    <t>15.0</t>
  </si>
  <si>
    <t>SERVIÇOS CONSTRUTIVOS COMPLEMENTARES</t>
  </si>
  <si>
    <t>15.1</t>
  </si>
  <si>
    <t>Fornecimento de quadro de giz de 5.00x1.30m executado na obra. após chapisco prévio será executado o emboço com argamassa 1:4:8 e reboco com argamassa 1:2 ;12 de granulação fina com superfície cuidadosamente desempenada. com pintura verde escolar fosco, incl. moldura e porta giz.</t>
  </si>
  <si>
    <t>15.2</t>
  </si>
  <si>
    <t>Fornecimento e instalação de mastro p/bandeira em poste cônico inclusive pintura e pertences altura livre 5.00 m</t>
  </si>
  <si>
    <t>15.3</t>
  </si>
  <si>
    <t>Execução de Escovódromo em alvenaria com 6 pontos de água, Azulejo h = 1,50m. Instalações de água e esgoto encontram-se no item instalações hidro-sanitária</t>
  </si>
  <si>
    <t>15.4</t>
  </si>
  <si>
    <t>Execução de Abrigo para gás em tijolo maciço, com portão e grade em metalón, inclusive tubulações, válvulas e acessórios de instalação, conforme detalhe construtivo</t>
  </si>
  <si>
    <t>15.5</t>
  </si>
  <si>
    <t>Fornecimento e instalação de corrimão em tubo galvanizado 2" chumbado no piso h=1.00 m pintado com tinta à óleo 02 demãos</t>
  </si>
  <si>
    <t>ML</t>
  </si>
  <si>
    <t>15.6</t>
  </si>
  <si>
    <t>Fornecimento e instalação de caixa de concreto pré-moldado para ar condicionado de 20.000 BTU</t>
  </si>
  <si>
    <t>un</t>
  </si>
  <si>
    <t>15.7</t>
  </si>
  <si>
    <t>Fornecimento e instalação de Totem, conforme Detalhe SEDUC/SINFRA</t>
  </si>
  <si>
    <t>16.0</t>
  </si>
  <si>
    <t>URBANIZAÇÃO / PAISAGISMO E DRENAGEM DE ÁGUAS PLUVIAIS</t>
  </si>
  <si>
    <t>16.1</t>
  </si>
  <si>
    <t>1.02.740.0050</t>
  </si>
  <si>
    <t>02 S 740 0050</t>
  </si>
  <si>
    <t>Piso rústico em concreto, fck = 13,5 mpa, controle tipo C, formando quadrados ripados
 de 1,50 x 1,50 m, e=7 cm</t>
  </si>
  <si>
    <t>16.2</t>
  </si>
  <si>
    <t>1.02.830.0010</t>
  </si>
  <si>
    <t>02 S 830 0010</t>
  </si>
  <si>
    <t>Alambrado com tela soldada galvanizada, fixada em mourão de concreto armado reto,
altura livre 2 m</t>
  </si>
  <si>
    <t>16.3</t>
  </si>
  <si>
    <t>1.02.910.0005</t>
  </si>
  <si>
    <t>02 S 910 0005</t>
  </si>
  <si>
    <t>Preparo e substituição de terra para plantio</t>
  </si>
  <si>
    <t>16.4</t>
  </si>
  <si>
    <t>1.02.920.0010</t>
  </si>
  <si>
    <t>02 S 920 0010</t>
  </si>
  <si>
    <t>Plantio de grama batatais em placas de 40 x 40 cm</t>
  </si>
  <si>
    <t>16.5</t>
  </si>
  <si>
    <t>16.6</t>
  </si>
  <si>
    <t>1.02.310.0160</t>
  </si>
  <si>
    <t>02 S 310 0160</t>
  </si>
  <si>
    <t>Reaterro manual de vala apiloado</t>
  </si>
  <si>
    <t>16.7</t>
  </si>
  <si>
    <t>1.02.690.0030</t>
  </si>
  <si>
    <t>02 S 690 0030</t>
  </si>
  <si>
    <t>Caixa de inspeção em alvenaria - 1/2 tijolo comum maciço revestido internamente com
 argamassa de cimento e areia sem peneirar traço 1:3, lastro de concreto e=10 cm, tampa e=5 cm, dimensões 80 x 80 x 60 cm</t>
  </si>
  <si>
    <t>16.8</t>
  </si>
  <si>
    <t>Execução de caixa de inspeção em alvenaria de tijolos maciço de 1/2 vez revestida com argamassa de cimento e areia 1:3 com impermeabilizante e tampa de concreto armado (e=0.07 m) conf. det. n. 15 dop 80 x 80 x 60 cm com grellha de ferro</t>
  </si>
  <si>
    <t>16.9</t>
  </si>
  <si>
    <t>1.02.620.0025</t>
  </si>
  <si>
    <t>02 S 620 0025</t>
  </si>
  <si>
    <t>Tubo de concreto para dreno, concreto simples, Ø 400 mm, rejuntado com argamassa
 de cimento e areia sem peneirar no traço 1:3</t>
  </si>
  <si>
    <t>17.0</t>
  </si>
  <si>
    <t>INSTALAÇÕES PREVENÇÃO E COMBATE A INCÊNDIO</t>
  </si>
  <si>
    <t>17.1</t>
  </si>
  <si>
    <t>1.10.520.0005</t>
  </si>
  <si>
    <t>10 S 520 0005</t>
  </si>
  <si>
    <t>Extintor de gás carbônico capacidade 6 kg</t>
  </si>
  <si>
    <t>17.2</t>
  </si>
  <si>
    <t>1.10.520.0020</t>
  </si>
  <si>
    <t>10 S 520 0020</t>
  </si>
  <si>
    <t>Extintor de pó químico pressurizado, capacidade 8 kg</t>
  </si>
  <si>
    <t>18.0</t>
  </si>
  <si>
    <t>LIMPEZA</t>
  </si>
  <si>
    <t>18.1</t>
  </si>
  <si>
    <t>1.02.240.0020</t>
  </si>
  <si>
    <t>02 S 240 0020</t>
  </si>
  <si>
    <t>Limpeza geral da edificação</t>
  </si>
  <si>
    <t>SUB TOTAL</t>
  </si>
  <si>
    <t>TOTAL GERAL</t>
  </si>
  <si>
    <t>SECRETARIA DE ESTADO DE EDUCAÇÃO</t>
  </si>
  <si>
    <t>CRONOGRAMA FISICO FINANCEIRO</t>
  </si>
  <si>
    <t>PRAZO =</t>
  </si>
  <si>
    <t>DIAS</t>
  </si>
  <si>
    <t>DESCRIÇÃO / ETAPA</t>
  </si>
  <si>
    <t>PERIODO</t>
  </si>
  <si>
    <t>À Executar</t>
  </si>
  <si>
    <t>1º MÊS</t>
  </si>
  <si>
    <t>2º MÊS</t>
  </si>
  <si>
    <t>3º MÊS</t>
  </si>
  <si>
    <t>4º MÊS</t>
  </si>
  <si>
    <t>5º MÊS</t>
  </si>
  <si>
    <t>6º MÊS</t>
  </si>
  <si>
    <t>7º MÊS</t>
  </si>
  <si>
    <t>8º MÊS</t>
  </si>
  <si>
    <t>9º MÊS</t>
  </si>
  <si>
    <t>10º MÊS</t>
  </si>
  <si>
    <t>11º MÊS</t>
  </si>
  <si>
    <t>12º MÊS</t>
  </si>
  <si>
    <t>Valor(R$)</t>
  </si>
  <si>
    <t>Valor (R$)</t>
  </si>
  <si>
    <t>Valor Do Mês</t>
  </si>
  <si>
    <t>Valor Acomulado</t>
  </si>
  <si>
    <t>SERVIÇOS TÉCNICOS - PROJETOS</t>
  </si>
  <si>
    <t>SERVIÇOS PRELIMINARES</t>
  </si>
  <si>
    <t>Serviços</t>
  </si>
  <si>
    <t>Memória Cálculo</t>
  </si>
  <si>
    <t>Un</t>
  </si>
  <si>
    <t>Quant.</t>
  </si>
  <si>
    <t>Tapume</t>
  </si>
  <si>
    <t>Consideramos o comprimento inteiro de um bloco 90,62 x uma altura 2,20m</t>
  </si>
  <si>
    <t>M²</t>
  </si>
  <si>
    <t>ok</t>
  </si>
  <si>
    <t>Barracão de Obra</t>
  </si>
  <si>
    <t>consideramos um barracão com dimensões 7x7</t>
  </si>
  <si>
    <t>Placa de Obra</t>
  </si>
  <si>
    <t>Modelo 5,00x2,50</t>
  </si>
  <si>
    <t>ÁGUA</t>
  </si>
  <si>
    <t>instalação provisória de água</t>
  </si>
  <si>
    <t>LUZ</t>
  </si>
  <si>
    <t>instalação provisória de luz</t>
  </si>
  <si>
    <t>Carga Entulho</t>
  </si>
  <si>
    <t>ADM OBRA</t>
  </si>
  <si>
    <r>
      <t xml:space="preserve">Deverá ser considerada como custo direto (ver Acórdão 325/07 TCU). Deve ser considerado custo da estrutura organizacional (pessoal), seguros e garantias de obrigações contratuais e despesas diversas. Iremos considerar apenas o pessoal considerando ainda a tebela de insumos da SINFRA. (Engenheiro/arquiteto trainee - R$ 3500,52 + Mestre de Obras R$ 2621,76 + Vigia R$ 1053,06) todos os custos considerando encargos. </t>
    </r>
    <r>
      <rPr>
        <b/>
        <sz val="10"/>
        <rFont val="Arial"/>
        <family val="2"/>
      </rPr>
      <t>total=7175,34. O cronograma de obra considera 12 meses.</t>
    </r>
  </si>
  <si>
    <t>SERVIÇOS DE DEMOLIÇÕES E RETIRADAS</t>
  </si>
  <si>
    <t>Demolição Alvenaria</t>
  </si>
  <si>
    <r>
      <t>30m</t>
    </r>
    <r>
      <rPr>
        <sz val="10"/>
        <rFont val="Arial"/>
        <family val="2"/>
      </rPr>
      <t xml:space="preserve"> do muro da entrada+ </t>
    </r>
    <r>
      <rPr>
        <b/>
        <sz val="10"/>
        <rFont val="Arial"/>
        <family val="2"/>
      </rPr>
      <t>(7,95x2)=15,90m</t>
    </r>
    <r>
      <rPr>
        <sz val="10"/>
        <rFont val="Arial"/>
        <family val="2"/>
      </rPr>
      <t xml:space="preserve"> paredes onde funcionam a biblioteca e sala de informática+ </t>
    </r>
    <r>
      <rPr>
        <b/>
        <sz val="10"/>
        <rFont val="Arial"/>
        <family val="2"/>
      </rPr>
      <t>(6+2,90+1,86+3,87)=23,13m</t>
    </r>
    <r>
      <rPr>
        <sz val="10"/>
        <rFont val="Arial"/>
        <family val="2"/>
      </rPr>
      <t xml:space="preserve"> paredes onde funciona sala professores, diretoria e depósito + </t>
    </r>
    <r>
      <rPr>
        <b/>
        <sz val="10"/>
        <rFont val="Arial"/>
        <family val="2"/>
      </rPr>
      <t>(3,80x2+ 1,20x4+2,45x2+6+1x2+2,90x2)=31,10m</t>
    </r>
    <r>
      <rPr>
        <sz val="10"/>
        <rFont val="Arial"/>
        <family val="2"/>
      </rPr>
      <t xml:space="preserve"> paredes dos sanitários existentes+ </t>
    </r>
    <r>
      <rPr>
        <b/>
        <sz val="10"/>
        <rFont val="Arial"/>
        <family val="2"/>
      </rPr>
      <t>6,30m</t>
    </r>
    <r>
      <rPr>
        <sz val="10"/>
        <rFont val="Arial"/>
        <family val="2"/>
      </rPr>
      <t xml:space="preserve"> parede onde hoje funciona a secretaria e arquivo + </t>
    </r>
    <r>
      <rPr>
        <b/>
        <sz val="10"/>
        <rFont val="Arial"/>
        <family val="2"/>
      </rPr>
      <t>8,90m</t>
    </r>
    <r>
      <rPr>
        <sz val="10"/>
        <rFont val="Arial"/>
        <family val="2"/>
      </rPr>
      <t xml:space="preserve"> muro em alvenaria que divide o parque infantil e onde funciona o refeitório+ </t>
    </r>
    <r>
      <rPr>
        <b/>
        <sz val="10"/>
        <rFont val="Arial"/>
        <family val="2"/>
      </rPr>
      <t>(35+20)=55m</t>
    </r>
    <r>
      <rPr>
        <sz val="10"/>
        <rFont val="Arial"/>
        <family val="2"/>
      </rPr>
      <t xml:space="preserve"> muro que já está caindo nos fundos e na lateral ao lado do posto de saúde, inclusive o quartinho dos fundos - será considerada altura média de 2,70m</t>
    </r>
  </si>
  <si>
    <t>M³</t>
  </si>
  <si>
    <t>Demolição Madeiramento
Cobertura</t>
  </si>
  <si>
    <t>Demolição da área de cobertura existente</t>
  </si>
  <si>
    <t>Retirada TelhasCobertura</t>
  </si>
  <si>
    <t>Retirada de Esquadrias
 metálica</t>
  </si>
  <si>
    <t>23 portas de (0,80x2,10) + 9 portas de (0,60x2,10) + 35 janelas (1,80x0,90) + 2 janelas de (1,95x1,00)m + 23 janelas (1,80x1,90)</t>
  </si>
  <si>
    <t>Retirada de Esquadrias
 madeira</t>
  </si>
  <si>
    <t>01 porta (0,80x2,10)m</t>
  </si>
  <si>
    <t>Demolição de Argamassa</t>
  </si>
  <si>
    <r>
      <t xml:space="preserve">Parede externa tem chapisco grosso a altura de 1,80m, cujo comprimento total é de </t>
    </r>
    <r>
      <rPr>
        <b/>
        <sz val="10"/>
        <rFont val="Arial"/>
        <family val="2"/>
      </rPr>
      <t>(36,72x2+6,30x3+48,69x2+32,75x2)=255,22m</t>
    </r>
  </si>
  <si>
    <t>Demolição Azulejo</t>
  </si>
  <si>
    <t>02 paredes de 6m cada uma dos sanitários que não serão demolidas + 20m perimetro da cozinha. Altura 2,00m</t>
  </si>
  <si>
    <t>Demolição Piso Cimentado</t>
  </si>
  <si>
    <r>
      <t>15,92m2 projeto</t>
    </r>
    <r>
      <rPr>
        <sz val="10"/>
        <rFont val="Arial"/>
        <family val="2"/>
      </rPr>
      <t xml:space="preserve"> - área da entrada da escola (rampa) + </t>
    </r>
    <r>
      <rPr>
        <b/>
        <sz val="10"/>
        <rFont val="Arial"/>
        <family val="2"/>
      </rPr>
      <t>77,60M2 projeto</t>
    </r>
    <r>
      <rPr>
        <sz val="10"/>
        <rFont val="Arial"/>
        <family val="2"/>
      </rPr>
      <t xml:space="preserve"> - área da lateral da escola ao lado do posto de saúde + </t>
    </r>
    <r>
      <rPr>
        <b/>
        <sz val="10"/>
        <rFont val="Arial"/>
        <family val="2"/>
      </rPr>
      <t>103,80m2 projeto</t>
    </r>
    <r>
      <rPr>
        <sz val="10"/>
        <rFont val="Arial"/>
        <family val="2"/>
      </rPr>
      <t xml:space="preserve"> - área de calçamento entre os dois blocos do lado esquerdo+ </t>
    </r>
    <r>
      <rPr>
        <b/>
        <sz val="10"/>
        <rFont val="Arial"/>
        <family val="2"/>
      </rPr>
      <t>153,80m2</t>
    </r>
    <r>
      <rPr>
        <sz val="10"/>
        <rFont val="Arial"/>
        <family val="2"/>
      </rPr>
      <t xml:space="preserve"> projeto - área do fundo onde funciona o parque infantil+ no bloco da frente na estrada da escola ao longo da circulação demolir 1,00m de largura de calçada existente para passar tubo de concreto para drenagem </t>
    </r>
    <r>
      <rPr>
        <b/>
        <sz val="10"/>
        <rFont val="Arial"/>
        <family val="2"/>
      </rPr>
      <t>(38+47)=85m.</t>
    </r>
  </si>
  <si>
    <t>Demolição Piso Cerâmico</t>
  </si>
  <si>
    <r>
      <t>(7,95x7,95)= 63,20m2</t>
    </r>
    <r>
      <rPr>
        <sz val="10"/>
        <rFont val="Arial"/>
        <family val="2"/>
      </rPr>
      <t xml:space="preserve"> sala informática e biblioteca + </t>
    </r>
    <r>
      <rPr>
        <b/>
        <sz val="10"/>
        <rFont val="Arial"/>
        <family val="2"/>
      </rPr>
      <t>(6x3,87)=23,22m2</t>
    </r>
    <r>
      <rPr>
        <sz val="10"/>
        <rFont val="Arial"/>
        <family val="2"/>
      </rPr>
      <t xml:space="preserve"> sala de aula pequena do bloco de entrada+ </t>
    </r>
    <r>
      <rPr>
        <b/>
        <sz val="10"/>
        <rFont val="Arial"/>
        <family val="2"/>
      </rPr>
      <t>(6x3,80x2)= 45,60m2</t>
    </r>
    <r>
      <rPr>
        <sz val="10"/>
        <rFont val="Arial"/>
        <family val="2"/>
      </rPr>
      <t xml:space="preserve"> conjunto de sanitários+ </t>
    </r>
    <r>
      <rPr>
        <b/>
        <sz val="10"/>
        <rFont val="Arial"/>
        <family val="2"/>
      </rPr>
      <t>48m2</t>
    </r>
    <r>
      <rPr>
        <sz val="10"/>
        <rFont val="Arial"/>
        <family val="2"/>
      </rPr>
      <t xml:space="preserve"> refeitório+ </t>
    </r>
    <r>
      <rPr>
        <b/>
        <sz val="10"/>
        <rFont val="Arial"/>
        <family val="2"/>
      </rPr>
      <t>22,13m2</t>
    </r>
    <r>
      <rPr>
        <sz val="10"/>
        <rFont val="Arial"/>
        <family val="2"/>
      </rPr>
      <t xml:space="preserve"> cozinha</t>
    </r>
  </si>
  <si>
    <t>Demolição Piso Granilite</t>
  </si>
  <si>
    <r>
      <t>446,50m2</t>
    </r>
    <r>
      <rPr>
        <sz val="10"/>
        <rFont val="Arial"/>
        <family val="2"/>
      </rPr>
      <t xml:space="preserve"> demolição de piso granilite de toda circulação, pois é o ponto que possui mais problemas de rachadura. É onde teremos também que executar as rampas dentro das normas e fazer o nivelamento com o piso das salas de aula. Considerar aterro de 0,15m.+</t>
    </r>
    <r>
      <rPr>
        <b/>
        <sz val="10"/>
        <rFont val="Arial"/>
        <family val="2"/>
      </rPr>
      <t>(6x7,90)m=47,40m2</t>
    </r>
    <r>
      <rPr>
        <sz val="10"/>
        <rFont val="Arial"/>
        <family val="2"/>
      </rPr>
      <t xml:space="preserve"> sala da diretoria e sala dos professores + </t>
    </r>
    <r>
      <rPr>
        <b/>
        <sz val="10"/>
        <rFont val="Arial"/>
        <family val="2"/>
      </rPr>
      <t>(7,95x6,30)=50,09m2</t>
    </r>
    <r>
      <rPr>
        <sz val="10"/>
        <rFont val="Arial"/>
        <family val="2"/>
      </rPr>
      <t xml:space="preserve"> onde funciona a atual secretaria</t>
    </r>
  </si>
  <si>
    <t>Remoção de Pintura</t>
  </si>
  <si>
    <t>toda parte externa da escola. Perímetro total (92,20+89,94+109,98)= 292,12ml. Altura de 1,20m</t>
  </si>
  <si>
    <t>Escavação</t>
  </si>
  <si>
    <t>Volume bloco de concreto</t>
  </si>
  <si>
    <t xml:space="preserve">Apiloamento </t>
  </si>
  <si>
    <t>Área bloco concreto</t>
  </si>
  <si>
    <t>aquisição de aterro</t>
  </si>
  <si>
    <t>será considerado para área do piso granilite com altura de 0,20m para nivelar com o piso das salas de aula + uma área de 9,52m2 próxima do muro lateral ao lado do posto de saúde com profundidade de 1,50m</t>
  </si>
  <si>
    <t>Carga manual de terra
 em caminhão basculante</t>
  </si>
  <si>
    <t>Transporte</t>
  </si>
  <si>
    <t>Compactação</t>
  </si>
  <si>
    <t>Reaterro</t>
  </si>
  <si>
    <t>Igual volume escavado /2</t>
  </si>
  <si>
    <t>Lastro Concreto</t>
  </si>
  <si>
    <t>Concreto fck 20mpa</t>
  </si>
  <si>
    <t>será considerado para:
1) Construção de Refeitório 10 pilares (0,25x0,25x3)m + 30,45m de viga baldrame e respaldo;
2) Ampliação de Sala de Informática 05 pilares (0,15x0,25x3,00)m + 15m de viga baldrame e respaldo;
3) Entrada da Escola 07 pilares (0,15x0,25x3,00)m + 20,47m de viga baldrame e respaldo;
4) Rampas 03 pilares (0,15x0,25x3,00)m + 18,46m de viga baldrame e respaldo;
5) Muro de Arrimo na lateral da escola - foi considerada a estimativa passada pelo calculista de 31,01m3 de concreto</t>
  </si>
  <si>
    <t>lançamento</t>
  </si>
  <si>
    <t>concreto</t>
  </si>
  <si>
    <t>Forma</t>
  </si>
  <si>
    <t>conforme dimensões acima, inclusive do muro de arrimo</t>
  </si>
  <si>
    <t xml:space="preserve">Aço CA 50 </t>
  </si>
  <si>
    <t>estimativa de 80kg/m3</t>
  </si>
  <si>
    <t>Kg</t>
  </si>
  <si>
    <t>Aço CA 60</t>
  </si>
  <si>
    <t>Concreto</t>
  </si>
  <si>
    <t xml:space="preserve">será considerado para:
1) Construção de Refeitório 10 pilares (0,25x0,25x3)m + 30,45m de viga baldrame e respaldo;
2) Ampliação de Sala de Informática 05 pilares (0,15x0,25x3,00)m + 15m de viga baldrame e respaldo;
3) Entrada da Escola 07 pilares (0,15x0,25x3,00)m + 20,47m de viga baldrame e respaldo;
4) Rampas 03 pilares (0,15x0,25x3,00)m + 18,46m de viga baldrame e respaldo;
</t>
  </si>
  <si>
    <t>lançamento de concreto</t>
  </si>
  <si>
    <t>conforme dimensões acima</t>
  </si>
  <si>
    <t>estimativa de 80kg/m4</t>
  </si>
  <si>
    <t>IMPERMEABILIZAÇÕES</t>
  </si>
  <si>
    <t>Regularização</t>
  </si>
  <si>
    <t>2 reservatório de água</t>
  </si>
  <si>
    <t>6.2</t>
  </si>
  <si>
    <t>Neutrol / Baldrame e piso</t>
  </si>
  <si>
    <t>área piso do WC + Forma da infra-estrutura x 0,75</t>
  </si>
  <si>
    <t>6.3</t>
  </si>
  <si>
    <t>Manta</t>
  </si>
  <si>
    <t>6.4</t>
  </si>
  <si>
    <t>Proteção mecânica</t>
  </si>
  <si>
    <t>Alvenaria 1/2vez</t>
  </si>
  <si>
    <r>
      <t>(8,25+7,25+6,12)x3m=64,86m2</t>
    </r>
    <r>
      <rPr>
        <sz val="10"/>
        <rFont val="Arial"/>
        <family val="2"/>
      </rPr>
      <t xml:space="preserve"> parede da biblioteca e sala de informática + </t>
    </r>
    <r>
      <rPr>
        <b/>
        <sz val="10"/>
        <rFont val="Arial"/>
        <family val="2"/>
      </rPr>
      <t>(6x3)18m2</t>
    </r>
    <r>
      <rPr>
        <sz val="10"/>
        <rFont val="Arial"/>
        <family val="2"/>
      </rPr>
      <t xml:space="preserve"> parede onde passará a funcionar arquivo e secretaria+</t>
    </r>
    <r>
      <rPr>
        <b/>
        <sz val="10"/>
        <rFont val="Arial"/>
        <family val="2"/>
      </rPr>
      <t xml:space="preserve"> (3,87x3)= 11,61m2</t>
    </r>
    <r>
      <rPr>
        <sz val="10"/>
        <rFont val="Arial"/>
        <family val="2"/>
      </rPr>
      <t xml:space="preserve"> parede que divide depósito e diretoria+</t>
    </r>
    <r>
      <rPr>
        <b/>
        <sz val="10"/>
        <rFont val="Arial"/>
        <family val="2"/>
      </rPr>
      <t xml:space="preserve"> (6,77x3)= 20,31m2</t>
    </r>
    <r>
      <rPr>
        <sz val="10"/>
        <rFont val="Arial"/>
        <family val="2"/>
      </rPr>
      <t xml:space="preserve"> parede dos sanitários da sala dos professores+ </t>
    </r>
    <r>
      <rPr>
        <b/>
        <sz val="10"/>
        <rFont val="Arial"/>
        <family val="2"/>
      </rPr>
      <t>(13,25x3)= 39,75m2</t>
    </r>
    <r>
      <rPr>
        <sz val="10"/>
        <rFont val="Arial"/>
        <family val="2"/>
      </rPr>
      <t xml:space="preserve"> parede dos sanitários+ </t>
    </r>
    <r>
      <rPr>
        <b/>
        <sz val="10"/>
        <rFont val="Arial"/>
        <family val="2"/>
      </rPr>
      <t>(292,12x0,35)= 102,24m2</t>
    </r>
    <r>
      <rPr>
        <sz val="10"/>
        <rFont val="Arial"/>
        <family val="2"/>
      </rPr>
      <t xml:space="preserve"> perímetro de toda construção para subir 0,50m para dar ponto da cobertura.</t>
    </r>
  </si>
  <si>
    <t>Alvenaria 1 vez</t>
  </si>
  <si>
    <t>parede entre os sanitários</t>
  </si>
  <si>
    <t>Verga 0,10x0,12</t>
  </si>
  <si>
    <t>Janelas conf. Projeto - basculante 0,60x0,40 e 0,60x0,60</t>
  </si>
  <si>
    <t>Madeiramento</t>
  </si>
  <si>
    <t>área de projeto + rampa de acesso ao refeitório</t>
  </si>
  <si>
    <t>Telha</t>
  </si>
  <si>
    <t>Cumeeira</t>
  </si>
  <si>
    <t>projeto</t>
  </si>
  <si>
    <t>rufo</t>
  </si>
  <si>
    <t>Calha</t>
  </si>
  <si>
    <t>Imunização Madeiramento</t>
  </si>
  <si>
    <t>igual a área de madeiramento da cobertura</t>
  </si>
  <si>
    <t>Beiral</t>
  </si>
  <si>
    <t>Joelho 90º 100mm</t>
  </si>
  <si>
    <t>Tubo de descida 100mm</t>
  </si>
  <si>
    <t>Portas 90 sem visor</t>
  </si>
  <si>
    <t>01 direção e 02 PNEE</t>
  </si>
  <si>
    <t>Portas 90 com visor</t>
  </si>
  <si>
    <t>Porta 90 com visor</t>
  </si>
  <si>
    <t>(10 salas de aula, 01 sala de informática, 01 sala de professor e 01 secretaria)</t>
  </si>
  <si>
    <t>Portas 80</t>
  </si>
  <si>
    <t>01 arquivo, 01 depósito da sala do diretor, 02 wc da sala dos professores, 02 sanitários, 01 cozinha, 01 depósito da cozinha e 01 na cantina.</t>
  </si>
  <si>
    <t>Porta WC 60 (UN.)</t>
  </si>
  <si>
    <t>Porta 70</t>
  </si>
  <si>
    <t>Passa Prato</t>
  </si>
  <si>
    <t>2 de 1,50 x 1,20 c/ granito - COZINHA E CANTINA</t>
  </si>
  <si>
    <t>Porta Alumínio WC</t>
  </si>
  <si>
    <t>0,60 x 1,7</t>
  </si>
  <si>
    <t>Janelas Correr 2,00X1,20</t>
  </si>
  <si>
    <t>20 salas de aula, 02 secretaria, 01 diretoria, 02 sala dos professores, 02 cozinha</t>
  </si>
  <si>
    <t>Portas 70</t>
  </si>
  <si>
    <t>Basculante 1,00X0,60</t>
  </si>
  <si>
    <t>01 biblioteca, 06 sala de informática, 40 sala de aula, 02 arquivo, 01 secretaria, 02 depósito da diretoria, 02 sala dos professores, 04 sanitários, 01 depósito da cozinha, 01 cantina</t>
  </si>
  <si>
    <t>9.9</t>
  </si>
  <si>
    <t>Basculante 0,6x0,4</t>
  </si>
  <si>
    <t>02 wc sala dos professores e 02 pnee</t>
  </si>
  <si>
    <t>Chapisco</t>
  </si>
  <si>
    <t>(Alvenaria 1 e 1/2 vez)*2+área de demolição de argamassa</t>
  </si>
  <si>
    <t>Reboco</t>
  </si>
  <si>
    <t>Azulejo</t>
  </si>
  <si>
    <t>WC PNEE + Sanitários + WC Prof (h=2,20m) + Cozinha, Depósito e Cantina (h=3,00m)</t>
  </si>
  <si>
    <t>Azulejo rejunte</t>
  </si>
  <si>
    <t>cantoneira</t>
  </si>
  <si>
    <t>cantoneira - estimativa</t>
  </si>
  <si>
    <t>ml</t>
  </si>
  <si>
    <t>Pastilha reposição salas 
de aula</t>
  </si>
  <si>
    <t>estimar 30m2 para reposição das salas de aula.</t>
  </si>
  <si>
    <t>Contrapiso / Lastro</t>
  </si>
  <si>
    <t>Igual a área do piso granilite + área do piso cerâmico</t>
  </si>
  <si>
    <t>Piso Granilite</t>
  </si>
  <si>
    <r>
      <t>(90,54x1,95)+(6,30x3,87)+(81,03x1,95)+ (3,25x3,97)+(24,4750x1,95) +30,97</t>
    </r>
    <r>
      <rPr>
        <sz val="10"/>
        <rFont val="Arial"/>
        <family val="2"/>
      </rPr>
      <t xml:space="preserve">(em frente a área da cozinha) circulação em geral+ </t>
    </r>
    <r>
      <rPr>
        <b/>
        <sz val="10"/>
        <rFont val="Arial"/>
        <family val="2"/>
      </rPr>
      <t>55,34</t>
    </r>
    <r>
      <rPr>
        <sz val="10"/>
        <rFont val="Arial"/>
        <family val="2"/>
      </rPr>
      <t xml:space="preserve"> rampas entrada + </t>
    </r>
    <r>
      <rPr>
        <b/>
        <sz val="10"/>
        <rFont val="Arial"/>
        <family val="2"/>
      </rPr>
      <t>30,24</t>
    </r>
    <r>
      <rPr>
        <sz val="10"/>
        <rFont val="Arial"/>
        <family val="2"/>
      </rPr>
      <t xml:space="preserve"> rampa entre os blocos+ </t>
    </r>
    <r>
      <rPr>
        <b/>
        <sz val="10"/>
        <rFont val="Arial"/>
        <family val="2"/>
      </rPr>
      <t>47,70m2</t>
    </r>
    <r>
      <rPr>
        <sz val="10"/>
        <rFont val="Arial"/>
        <family val="2"/>
      </rPr>
      <t xml:space="preserve"> sala de informática + </t>
    </r>
    <r>
      <rPr>
        <b/>
        <sz val="10"/>
        <rFont val="Arial"/>
        <family val="2"/>
      </rPr>
      <t>14,31m2</t>
    </r>
    <r>
      <rPr>
        <sz val="10"/>
        <rFont val="Arial"/>
        <family val="2"/>
      </rPr>
      <t xml:space="preserve"> biblioteca+</t>
    </r>
    <r>
      <rPr>
        <b/>
        <sz val="10"/>
        <rFont val="Arial"/>
        <family val="2"/>
      </rPr>
      <t xml:space="preserve"> 7,74 m2</t>
    </r>
    <r>
      <rPr>
        <sz val="10"/>
        <rFont val="Arial"/>
        <family val="2"/>
      </rPr>
      <t xml:space="preserve"> depósito + </t>
    </r>
    <r>
      <rPr>
        <b/>
        <sz val="10"/>
        <rFont val="Arial"/>
        <family val="2"/>
      </rPr>
      <t>14,89m2</t>
    </r>
    <r>
      <rPr>
        <sz val="10"/>
        <rFont val="Arial"/>
        <family val="2"/>
      </rPr>
      <t xml:space="preserve"> diretoria + </t>
    </r>
    <r>
      <rPr>
        <b/>
        <sz val="10"/>
        <rFont val="Arial"/>
        <family val="2"/>
      </rPr>
      <t>41,20m2</t>
    </r>
    <r>
      <rPr>
        <sz val="10"/>
        <rFont val="Arial"/>
        <family val="2"/>
      </rPr>
      <t xml:space="preserve"> sala dos professores + </t>
    </r>
    <r>
      <rPr>
        <b/>
        <sz val="10"/>
        <rFont val="Arial"/>
        <family val="2"/>
      </rPr>
      <t>50,08 m2</t>
    </r>
    <r>
      <rPr>
        <sz val="10"/>
        <rFont val="Arial"/>
        <family val="2"/>
      </rPr>
      <t xml:space="preserve"> sala de aula onde funcionava a secretaria+ </t>
    </r>
    <r>
      <rPr>
        <b/>
        <sz val="10"/>
        <rFont val="Arial"/>
        <family val="2"/>
      </rPr>
      <t>48m2</t>
    </r>
    <r>
      <rPr>
        <sz val="10"/>
        <rFont val="Arial"/>
        <family val="2"/>
      </rPr>
      <t xml:space="preserve"> sala de aula onde funcionava o refeitório+ </t>
    </r>
    <r>
      <rPr>
        <b/>
        <sz val="10"/>
        <rFont val="Arial"/>
        <family val="2"/>
      </rPr>
      <t>115,15m2</t>
    </r>
    <r>
      <rPr>
        <sz val="10"/>
        <rFont val="Arial"/>
        <family val="2"/>
      </rPr>
      <t xml:space="preserve"> refeitório</t>
    </r>
  </si>
  <si>
    <t>Rodapé de Granilite meia
 cana</t>
  </si>
  <si>
    <t>igual perímetro dos ambientes</t>
  </si>
  <si>
    <t>Regularização Piso</t>
  </si>
  <si>
    <t>WC Sala Professores + Sanitários + PNEE+ cozinha + cantina e depósito</t>
  </si>
  <si>
    <t xml:space="preserve">Piso cerâmico </t>
  </si>
  <si>
    <t>m2</t>
  </si>
  <si>
    <t>rejuntamento</t>
  </si>
  <si>
    <t>Rejunte: tendo conhecimento das dimensões da placa cerâmica a ser utilizada e também da largura das juntas de assentamento, é possível realizar o cálculo do consumo aproximado de argamassa de rejunte a ser utilizada.
O consumo citado abaixo é dado em gramas por metro quadrado de pó de rejunte antes da sua mistura (conforme instruções do fabricante).
CONSUMO DE REJUNTE: LARGURA DA JUNTA  4 mm   320g/m2</t>
  </si>
  <si>
    <t>Rodapé Cerâmica</t>
  </si>
  <si>
    <t>não tem rodapé cerâmica, uma vez que os ambientes que terão piso cerâmico serão azulejados.</t>
  </si>
  <si>
    <t>Resina</t>
  </si>
  <si>
    <t>piso granilite existente - salas de aula, arquivo e secretaria</t>
  </si>
  <si>
    <t>Forro PVC</t>
  </si>
  <si>
    <t>área cobertura</t>
  </si>
  <si>
    <t>Divisória Granito</t>
  </si>
  <si>
    <t>Box h = 1,80m / Bancada h = 1,00 / mictório h = 0,60m</t>
  </si>
  <si>
    <t>Vidro Comum</t>
  </si>
  <si>
    <t>Janelas novas, conforme quadro de esquadrias</t>
  </si>
  <si>
    <t>Emassamento</t>
  </si>
  <si>
    <t>considerar 35% da área total de pintura para reposição em vários pontos danificados</t>
  </si>
  <si>
    <t>Latéx Acrílica</t>
  </si>
  <si>
    <t>pintura interna e externa</t>
  </si>
  <si>
    <t>Esmalte para barrado/
 liquibrilho</t>
  </si>
  <si>
    <t>h=1,10m (interno + externo + mureta)</t>
  </si>
  <si>
    <t>Esmalte Sint. Metálica</t>
  </si>
  <si>
    <t>Esquadrias novas - Janelas = Portas Vão de Luz *3 e Vão de Luz *3 (com grade) + (642m2) pintura da estrutua metálica da quadra + (1769,07m2 +02 oitões 110,55m2 cada) pintura das telhas da quadra.</t>
  </si>
  <si>
    <t>Pintura Piso da quadra</t>
  </si>
  <si>
    <t>piso da quadra (20x32,10)</t>
  </si>
  <si>
    <t xml:space="preserve">de marcação em quadra </t>
  </si>
  <si>
    <t>RECUPERAÇÃO DE quadro</t>
  </si>
  <si>
    <t>10salas de aula + 1 sala informática</t>
  </si>
  <si>
    <t>Mastro  para bandeiras</t>
  </si>
  <si>
    <t>Escovodromo</t>
  </si>
  <si>
    <t>Abrigo para Gás</t>
  </si>
  <si>
    <t>Corrimão</t>
  </si>
  <si>
    <t>rampa + 1º pvto + escada</t>
  </si>
  <si>
    <t>Caixa Ar 20000 BTU</t>
  </si>
  <si>
    <t>Sala informática</t>
  </si>
  <si>
    <t>Obelisco - totem</t>
  </si>
  <si>
    <t>1 Totem</t>
  </si>
  <si>
    <t>URBANIZAÇÃO E PAISAGISMO</t>
  </si>
  <si>
    <t>Calçada/Piso Concreto</t>
  </si>
  <si>
    <t>77,60M2 projeto - área da lateral da escola ao lado do posto de saúde + 103,80m2 projeto - área de calçamento entre os dois blocos do lado esquerdo+ 153,80m2 projeto - área do fundo onde funciona o parque infantil+ no bloco da frente na estrada da escola ao longo da circulação demolir 1,00m de largura de calçada existente para passar tubo de concreto para drenagem (38+47)=85m.</t>
  </si>
  <si>
    <t>Alambrado - quadra</t>
  </si>
  <si>
    <t>perímetro da quadra 30X22</t>
  </si>
  <si>
    <t>Terra Vegetal</t>
  </si>
  <si>
    <t>2,5cm da área da grama</t>
  </si>
  <si>
    <t>Grama</t>
  </si>
  <si>
    <t>área verde prevista no projeto</t>
  </si>
  <si>
    <t>EXTINTOR</t>
  </si>
  <si>
    <t>Gás Carbônico</t>
  </si>
  <si>
    <t>Pó Químico</t>
  </si>
  <si>
    <t>LIMPEZA DA OBRA</t>
  </si>
  <si>
    <t>Limpeza Geral</t>
  </si>
  <si>
    <t>Àrea construída</t>
  </si>
  <si>
    <t>1.01.590.0005</t>
  </si>
  <si>
    <t>01 S 590 0005</t>
  </si>
  <si>
    <t>Locação da obra: execução de gabarito</t>
  </si>
  <si>
    <t>7.4</t>
  </si>
  <si>
    <r>
      <t xml:space="preserve">Fornecimento e Instalação </t>
    </r>
    <r>
      <rPr>
        <sz val="11"/>
        <color indexed="12"/>
        <rFont val="Arial"/>
        <family val="2"/>
      </rPr>
      <t xml:space="preserve">de 2 Portas (0,90x2,10) </t>
    </r>
    <r>
      <rPr>
        <sz val="11"/>
        <rFont val="Arial"/>
        <family val="2"/>
      </rPr>
      <t>metálica de abrir em chapa dobrada corrugada n 18, com puxador Ǿ 1" , com visor em vidro 32 x 12 cm e fechadura cilindrica de embutir do tipo tetra, conforme detalhe Caderno Padronização de obras/SEDUC,  página  12 e memorial descritivo.</t>
    </r>
  </si>
  <si>
    <t>Compactação e Preparo do Local Destinado a Receber o Piso, incl. Carga e Transporte Manual de Material de Caixão de Empréstimo para Complementação do que Faltar</t>
  </si>
  <si>
    <t>13.2</t>
  </si>
  <si>
    <t>13.3</t>
  </si>
  <si>
    <t>13.4</t>
  </si>
  <si>
    <t>Pintura em Esmalte Sintético (1ª Linha:Renner, Suvinil ou Ipiranga) sobre Esquadria Metálica, inclusive lixamento uma demão de zarcão laranja, correções de imperfeições e 02 demãos de tinta base de esmalte, pintura executada com compressor e pistola</t>
  </si>
  <si>
    <t>Locação</t>
  </si>
  <si>
    <t>Área construída</t>
  </si>
  <si>
    <t>Sapata (UN.)</t>
  </si>
  <si>
    <t>Baldrame (M)</t>
  </si>
  <si>
    <t>área(paredes externas +2,00m) x h = 0,40m</t>
  </si>
  <si>
    <t>4.7</t>
  </si>
  <si>
    <t>Embasamento Tijolo</t>
  </si>
  <si>
    <t>valor estimado caso haja necessidade contenção aterro</t>
  </si>
  <si>
    <t>5.6</t>
  </si>
  <si>
    <t>5.7</t>
  </si>
  <si>
    <t>5.8</t>
  </si>
  <si>
    <t>Estaca Escavada</t>
  </si>
  <si>
    <t>Pilar 20x20 (UN.)</t>
  </si>
  <si>
    <t>Pilar 15x35 (UN.)</t>
  </si>
  <si>
    <t>Respaldo (M)</t>
  </si>
  <si>
    <t>6.5</t>
  </si>
  <si>
    <t>Forma da infra-estrutura x 0,75</t>
  </si>
  <si>
    <t>construção de salas de aula(construção h=3,00m)</t>
  </si>
  <si>
    <t>Estrutura de Madeira</t>
  </si>
  <si>
    <t>área de projeto</t>
  </si>
  <si>
    <t>Telha Cerâmica</t>
  </si>
  <si>
    <t xml:space="preserve">Cumeeira  </t>
  </si>
  <si>
    <t>conforme projeto</t>
  </si>
  <si>
    <t>m</t>
  </si>
  <si>
    <t>(02 salas de aula</t>
  </si>
  <si>
    <t>1 de 1,50 x 1,20 c/ granito</t>
  </si>
  <si>
    <t>10.7</t>
  </si>
  <si>
    <t>conforme quadro de esquadrias</t>
  </si>
  <si>
    <t>10.8</t>
  </si>
  <si>
    <t>10.9</t>
  </si>
  <si>
    <t>10.10</t>
  </si>
  <si>
    <t>Basculante 0,6x0,6</t>
  </si>
  <si>
    <t>(Alvenaria 1 e 1/2 vez)*2 + área de fôrma da estrutura x 0,9</t>
  </si>
  <si>
    <t>Preparação</t>
  </si>
  <si>
    <t>SALA DE AULA + CIRCULAÇÃO</t>
  </si>
  <si>
    <t>SALA DE AULA + CIRCULAÇÃO x 3,0cm</t>
  </si>
  <si>
    <t>12.3</t>
  </si>
  <si>
    <t>12.4</t>
  </si>
  <si>
    <t>rejunte</t>
  </si>
  <si>
    <t>12.5</t>
  </si>
  <si>
    <t>Rodapé CERÂMICO</t>
  </si>
  <si>
    <t>(interno+externo)*1,1(meia cana)</t>
  </si>
  <si>
    <t>EMASSAMENTO</t>
  </si>
  <si>
    <t>Igual a área de reboco - área azulejo</t>
  </si>
  <si>
    <t>Esmlate para barrado</t>
  </si>
  <si>
    <t>Logo do Estado e Seduc</t>
  </si>
  <si>
    <t>Pintura Piso</t>
  </si>
  <si>
    <t>Rampa de acesso + escadas</t>
  </si>
  <si>
    <t xml:space="preserve">Esquadrias novas - Janelas = Portas Vão de Luz *3 e Vão de Luz *3 (com grade) </t>
  </si>
  <si>
    <t>Quadro Novo</t>
  </si>
  <si>
    <t>6 salas de aula + 1 sala informática</t>
  </si>
  <si>
    <t>Brise Metálico</t>
  </si>
  <si>
    <t>Caixa Ar 18000 BTU</t>
  </si>
  <si>
    <t>Tampa reservatório</t>
  </si>
  <si>
    <t>Entorno da área a ser construída (área externa - área construída)</t>
  </si>
  <si>
    <t>Bloco concreto sextavado</t>
  </si>
  <si>
    <t>entorno da quadra + ligação entre bloco praça e quadra</t>
  </si>
  <si>
    <t>17.3</t>
  </si>
  <si>
    <t>17.4</t>
  </si>
  <si>
    <t>Palmeira Jerivá</t>
  </si>
  <si>
    <t>Plantio na fachada</t>
  </si>
  <si>
    <t>17.5</t>
  </si>
  <si>
    <t>envolvendo a escola e a praça de alimentação</t>
  </si>
  <si>
    <t>18.2</t>
  </si>
  <si>
    <t>19.1</t>
  </si>
  <si>
    <t xml:space="preserve">PLANILHA ORÇAMENTÁRIA </t>
  </si>
  <si>
    <t xml:space="preserve">CÓDIGO </t>
  </si>
  <si>
    <t xml:space="preserve">DESCRIÇÃO </t>
  </si>
  <si>
    <t xml:space="preserve">UNIDADE </t>
  </si>
  <si>
    <t>QUANT. CONTRATO</t>
  </si>
  <si>
    <t>VALOR UNITÁRIO</t>
  </si>
  <si>
    <t>VALOR UNITÁRIO COM BDI</t>
  </si>
  <si>
    <t xml:space="preserve">VALOR TOTAL </t>
  </si>
  <si>
    <t>ADMINISTRAÇÃO DE OBRA</t>
  </si>
  <si>
    <t>SUB-TOTAL</t>
  </si>
  <si>
    <t>PLACA DE OBRA EM CHAPA DE AÇO GALVANIZADO</t>
  </si>
  <si>
    <t xml:space="preserve">TOTAL GERAL DO ORÇAMENTO </t>
  </si>
  <si>
    <t xml:space="preserve">30 DIAS </t>
  </si>
  <si>
    <t xml:space="preserve">60 DIAS </t>
  </si>
  <si>
    <t xml:space="preserve">90 DIAS </t>
  </si>
  <si>
    <t>PLANILHA DE COMPOSIÇÃO UNITÁRIA DE SERVIÇO E COTAÇÃO UNITÁRIA DE INSUMOS</t>
  </si>
  <si>
    <t>Código</t>
  </si>
  <si>
    <t>Boletim</t>
  </si>
  <si>
    <t>MÃO DE OBRA</t>
  </si>
  <si>
    <t xml:space="preserve">Unid           </t>
  </si>
  <si>
    <t xml:space="preserve">Qtde           </t>
  </si>
  <si>
    <t xml:space="preserve">Custo Unitário </t>
  </si>
  <si>
    <t xml:space="preserve">Custo Total    </t>
  </si>
  <si>
    <t>SINAPI</t>
  </si>
  <si>
    <t>H</t>
  </si>
  <si>
    <t>ENCARREGADO GERAL DE OBRAS COM ENCARGOS COMPLEMENTARES</t>
  </si>
  <si>
    <t>MÊS</t>
  </si>
  <si>
    <t>CUSTO DIRETO</t>
  </si>
  <si>
    <t>FORNECIMENTO E INSTALAÇÃO DE PLACA DE OBRA EM CHAPA DE AÇO GALVANIZADO</t>
  </si>
  <si>
    <t>CARPINTEIRO DE FORMAS COM ENCARGOS COMPLEMENTARES</t>
  </si>
  <si>
    <t xml:space="preserve">H     </t>
  </si>
  <si>
    <t>SERVENTE COM ENCARGOS COMPLEMENTARES</t>
  </si>
  <si>
    <t>MATERIAIS</t>
  </si>
  <si>
    <t>SINAPI/INSUMO</t>
  </si>
  <si>
    <t>SARRAFO DE MADEIRA NAO APARELHADA *2,5 X 7* CM, MACARANDUBA, ANGELIM OU EQUIVALENTE DA REGIAO</t>
  </si>
  <si>
    <t>PLACA DE OBRA (PARA CONSTRUCAO CIVIL) EM CHAPA GALVANIZADA *N. 22*, ADESIVADA, DE *2,0 X 1,125* M</t>
  </si>
  <si>
    <t>PREGO DE ACO POLIDO COM CABECA 18 X 30 (2 3/4 X 10)</t>
  </si>
  <si>
    <t>AUXILIAR DE ELETRICISTA COM ENCARGOS COMPLEMENTARES</t>
  </si>
  <si>
    <t>ELETRICISTA COM ENCARGOS COMPLEMENTARES</t>
  </si>
  <si>
    <t>COTAÇÃO</t>
  </si>
  <si>
    <t xml:space="preserve">DATA </t>
  </si>
  <si>
    <t>VALOR COTADO ( R$)</t>
  </si>
  <si>
    <t>CONTATO</t>
  </si>
  <si>
    <t xml:space="preserve">VALOR ACATADO - MEDIANA </t>
  </si>
  <si>
    <t>MOTORISTA OPERADOR DE MUNCK COM ENCARGOS COMPLEMENTARES</t>
  </si>
  <si>
    <t>GUINDAUTO HIDRÁULICO, CAPACIDADE MÁXIMA DE CARGA 6200 KG, MOMENTO MÁXIMO DE CARGA 11,7 TM, ALCANCE MÁXIMO HORIZONTAL 9,70 M, INCLUSIVE CAMINHÃO TOCO PBT 16.000 KG, POTÊNCIA DE 189 CV - CHP DIURNO. AF_06/2014</t>
  </si>
  <si>
    <t>****</t>
  </si>
  <si>
    <t>EQUIPAMENTO</t>
  </si>
  <si>
    <t>SINAPI / INSUMO</t>
  </si>
  <si>
    <t>ARRUELA QUADRADA EM ACO GALVANIZADO, DIMENSAO = 38 MM, ESPESSURA = 3MM, DIAMETRO DO FURO= 18 MM</t>
  </si>
  <si>
    <t>SAPATILHA EM ACO GALVANIZADO PARA CABOS COM DIAMETRO NOMINAL ATE 5/8"</t>
  </si>
  <si>
    <t>PARAFUSO M16 EM ACO GALVANIZADO, COMPRIMENTO = 250 MM, DIAMETRO = 16 MM, ROSCA MAQUINA, CABECA QUADRADA</t>
  </si>
  <si>
    <t>PORCA OLHAL EM ACO GALVANIZADO, ESPESSURA 16MM, ABERTURA 21MM</t>
  </si>
  <si>
    <t>PARAFUSO M16 EM ACO GALVANIZADO, COMPRIMENTO = 125 MM, DIAMETRO = 16 MM, ROSCA MAQUINA, CABECA QUADRADA</t>
  </si>
  <si>
    <t>PARAFUSO M16 EM ACO GALVANIZADO, COMPRIMENTO = 200 MM, DIAMETRO = 16 MM, ROSCA MAQUINA, CABECA QUADRADA</t>
  </si>
  <si>
    <t>GANCHO OLHAL EM ACO GALVANIZADO, ESPESSURA 16MM, ABERTURA 21MM</t>
  </si>
  <si>
    <t>MANILHA SAPATILHA</t>
  </si>
  <si>
    <t>PARAFUSO M16 EM ACO GALVANIZADO, COMPRIMENTO = 300 MM, DIAMETRO = 16 MM, ROSCA MAQUINA, CABECA QUADRADA</t>
  </si>
  <si>
    <t>CHAVE FUSIVEL PARA REDES DE DISTRIBUICAO, TENSAO DE 15,0 KV, CORRENTE NOMINAL DO PORTA FUSIVEL DE 100 A, CAPACIDADE DE INTERRUPCAO SIMETRICA DE 7,10 KA, CAPACIDADE DE INTERRUPCAO ASSIMETRICA 10,00 KA</t>
  </si>
  <si>
    <t>CRUZETA DE CONCRETO LEVE, COMP. 2000 MM SECAO, 90 X 90 MM</t>
  </si>
  <si>
    <t>GRAMPO LINHA VIVA DE LATAO ESTANHADO, DIAMETRO DO CONDUTOR PRINCIPAL DE 10 A 120 MM2, DIAMETRO DA DERIVACAO DE 10 A 70 MM2</t>
  </si>
  <si>
    <t>PARA-RAIOS DE DISTRIBUICAO, TENSAO NOMINAL 15 KV, CORRENTE NOMINAL DE DESCARGA 5 KA</t>
  </si>
  <si>
    <t>SECRETARIA DE ESTADO DAS CIDADES - SECID</t>
  </si>
  <si>
    <t>Secretaria Adjunta de Saneamento - SASA</t>
  </si>
  <si>
    <t xml:space="preserve">CENTRO POLÍTICO ADMINISTRATIVO </t>
  </si>
  <si>
    <t>Código Tarefa
Boletim Sinfra julho 2011 / Sinapi nov 2013</t>
  </si>
  <si>
    <t>Cód. Composição
Boletim Sinfra julho 2011 / Sinapi nov 2013</t>
  </si>
  <si>
    <t>Custo do Serviço
Boletim Sinfra julho 2011/Sinapi nov 2013</t>
  </si>
  <si>
    <t>SERVIÇOS PARA INSTALAÇÃO DE REDE DE ÁGUA</t>
  </si>
  <si>
    <t>CADASTRO DE LIGAÇÕES PREDIAIS, INCLUSIVE TOPOGRAFO E DESENHISTA</t>
  </si>
  <si>
    <t xml:space="preserve">CADASTRO DE REDES, INCLUSIVE TOPOGRAFO E DESENHISTA  </t>
  </si>
  <si>
    <t>79517/001</t>
  </si>
  <si>
    <t xml:space="preserve">ESCAVACAO MANUAL EM SOLO-PROF. ATE 1,50 M </t>
  </si>
  <si>
    <t>74015/001</t>
  </si>
  <si>
    <t>REATERRO E COMPACTACAO MECANICO DE VALA COM COMPACTADOR MANUAL TIPO SOQUETE VIBRATORIO</t>
  </si>
  <si>
    <t xml:space="preserve">LASTRO DE AREIA MEDIA  </t>
  </si>
  <si>
    <t>5.10</t>
  </si>
  <si>
    <t>REGULARIZACAO E COMPACTACAO MANUAL DE TERRENO COM SOQUETE</t>
  </si>
  <si>
    <t>COMPOSIÇÃO</t>
  </si>
  <si>
    <t>5.13</t>
  </si>
  <si>
    <t>5.14</t>
  </si>
  <si>
    <t>5.15</t>
  </si>
  <si>
    <t>5.16</t>
  </si>
  <si>
    <t>5.17</t>
  </si>
  <si>
    <t>5.18</t>
  </si>
  <si>
    <t>5.19</t>
  </si>
  <si>
    <t>5.20</t>
  </si>
  <si>
    <t>5.21</t>
  </si>
  <si>
    <t>5.22</t>
  </si>
  <si>
    <t>CAIXA DE PASSAGEM 30X30X40 COM TAMPA E DRENO BRITA (PARA ABRIGO DO REGISTRO DE MANOBRA DA REDE)</t>
  </si>
  <si>
    <t>5.9</t>
  </si>
  <si>
    <t>74181/001</t>
  </si>
  <si>
    <t>REGISTRO GAVETA 2" BRUTO LATAO - FORNECIMENTO E INSTALACAO</t>
  </si>
  <si>
    <t>74253/001</t>
  </si>
  <si>
    <t>RAMAL PREDIAL EM TUBO PEAD 20MM - FORNECIMENTO, INSTALAÇÃO, ESCAVAÇÃO</t>
  </si>
  <si>
    <t>5.11</t>
  </si>
  <si>
    <t>74218/001</t>
  </si>
  <si>
    <t>KIT CAVALETE PVC COM REGISTRO 3/4" - FORNECIMENTO E INSTALACAO</t>
  </si>
  <si>
    <t>Cod. De Composição de Preços SINFRA</t>
  </si>
  <si>
    <t>UND.</t>
  </si>
  <si>
    <t>PREÇO</t>
  </si>
  <si>
    <t>SEM</t>
  </si>
  <si>
    <t>BDI</t>
  </si>
  <si>
    <t>INSTALAÇÕES ELÉTRICAS - BAIXA TENSÃO</t>
  </si>
  <si>
    <t>Execução de mureta em alvenaria de 1.5 vez  de tijolo assente com argamassa mista 1:2:8 cimento cal hidratada e areia inclusive fundação em concreto ciclópico no traço 1:3;6 revestimento rústico e caiação - para instalação de medidor de luz e força</t>
  </si>
  <si>
    <t>Fornecimento e instalação de Isolador Roldana de Plástico C/ Parafuso P/ Fixar em Madeira de 3/4 pol.</t>
  </si>
  <si>
    <t>1.16.120.0170</t>
  </si>
  <si>
    <t>16 S 120 0170</t>
  </si>
  <si>
    <t>Fio isolado de PVC seção 2,5 mm2 - 750 V - 70°c</t>
  </si>
  <si>
    <t>1.16.120.0005</t>
  </si>
  <si>
    <t>16 S 120 0005</t>
  </si>
  <si>
    <t>Cabo isolado em PVC seção 4 mm2 - 750 V - 70°c</t>
  </si>
  <si>
    <t>1.16.120.0020</t>
  </si>
  <si>
    <t>16 S 120 0020</t>
  </si>
  <si>
    <t>Cabo isolado em PVC seção 16 mm2 - 750 V - 70°c</t>
  </si>
  <si>
    <t>1.16.120.0025</t>
  </si>
  <si>
    <t>16 S 120 0025</t>
  </si>
  <si>
    <t>Cabo isolado em PVC seção 25 mm2 - 750 V - 70°c</t>
  </si>
  <si>
    <t>1.16.120.0030</t>
  </si>
  <si>
    <t>16 S 120 0030</t>
  </si>
  <si>
    <t>Cabo isolado em PVC seção 35 mm2 - 750 V - 70°c</t>
  </si>
  <si>
    <t>1.8</t>
  </si>
  <si>
    <t>1.16.120.0035</t>
  </si>
  <si>
    <t>16 S 120 0035</t>
  </si>
  <si>
    <t>Cabo isolado em PVC seção 50 mm2 - 750 V - 70°c</t>
  </si>
  <si>
    <t>1.9</t>
  </si>
  <si>
    <t>1.16.120.0040</t>
  </si>
  <si>
    <t>16 S 120 0040</t>
  </si>
  <si>
    <t>Cabo isolado em PVC seção 70 mm2 - 750 V - 70°c</t>
  </si>
  <si>
    <t>1.10</t>
  </si>
  <si>
    <t>1.16.120.0045</t>
  </si>
  <si>
    <t>16 S 120 0045</t>
  </si>
  <si>
    <t>Cabo isolado em PVC seção 95 mm2 - 750 V - 70°c</t>
  </si>
  <si>
    <t>1.11</t>
  </si>
  <si>
    <t>Execução de caixa de passagem de concreto de 5 cm espessura e tampa de concreto impermeabilizada de 30.00 x 30.00 x 30.00 cm</t>
  </si>
  <si>
    <t>CJ</t>
  </si>
  <si>
    <t>1.12</t>
  </si>
  <si>
    <t>Execução de caixa de passagem de concreto de 5 cm espessura e tampa de concreto impermeabilizada de 40.00 x 40.00 x 40.00 cm</t>
  </si>
  <si>
    <t>1.13</t>
  </si>
  <si>
    <t>Execução de caixa de passagem de concreto de 5 cm espessura e tampa de concreto impermeabilizada de 60.00 x 60.00 x 60.00 cm</t>
  </si>
  <si>
    <t>1.14</t>
  </si>
  <si>
    <t>Execução de caixa de passagem de concreto de 5 cm espessura e tampa de concreto impermeabilizada de 80.00 x 80.00 x 80.00 cm</t>
  </si>
  <si>
    <t>1.15</t>
  </si>
  <si>
    <t>Execução de caixa de passagem de concreto de 5 cm espessura e tampa de concreto impermeabilizada de 100.00 x 100.00 x 80.00 cm</t>
  </si>
  <si>
    <t>1.16</t>
  </si>
  <si>
    <t>1.16.180.0045</t>
  </si>
  <si>
    <t>16 S 180 0045</t>
  </si>
  <si>
    <t>Interruptor, uma tecla simples 10 A - 250 V</t>
  </si>
  <si>
    <t>1.17</t>
  </si>
  <si>
    <t>1.16.180.0005</t>
  </si>
  <si>
    <t>16 S 180 0005</t>
  </si>
  <si>
    <t>Interruptor, duas teclas simples 10 a - 250 V</t>
  </si>
  <si>
    <t>1.18</t>
  </si>
  <si>
    <t>Fornecimento e Instalação de Interruptor Simples e Tomada 2P+T universal de Embutir 10 A - 250V com espelho para caixa 4x2"""", Linha Popular</t>
  </si>
  <si>
    <t>1.19</t>
  </si>
  <si>
    <t>1.16.180.0075</t>
  </si>
  <si>
    <t>16 S 180 0075</t>
  </si>
  <si>
    <t>Interruptor e tomada, uma tecla simples e uma tomada dois pólos universal 10 A - 250 V</t>
  </si>
  <si>
    <t>1.20</t>
  </si>
  <si>
    <t>Fornecimento e Instalação de Tomada  2P+T universal de Embutir 10 A - 250V com espelho para caixa 4x2"""", Linha Popular</t>
  </si>
  <si>
    <t>1.21</t>
  </si>
  <si>
    <t>1.16.180.0105</t>
  </si>
  <si>
    <t>16 S 180 0105</t>
  </si>
  <si>
    <t>Tomada dois pólos mais terra 20 A - 250 V</t>
  </si>
  <si>
    <t>1.22</t>
  </si>
  <si>
    <t>Fornecimento e instalação de conjunto arstop com tomada bipolar mais polo terra e disjuntor termomagnético Bipolar de 30A/250v para embutir UL, em caixa metálica de 4"""" x 4"""" x 2""""</t>
  </si>
  <si>
    <t>1.23</t>
  </si>
  <si>
    <t>Fornecimento e instalação de ventilador de teto c/rot em sentido dir/inverso c/4 pas de Madeira 60hz 110v c/ interuptor tipo reostado p/2 setores e com capacitor</t>
  </si>
  <si>
    <t>1.24</t>
  </si>
  <si>
    <t>1.16.510.0025</t>
  </si>
  <si>
    <t>16 S 510 0025</t>
  </si>
  <si>
    <t>Luminária fluorescente completa com 2 lâmpadas de 20 W, tipo calha de sobrepor</t>
  </si>
  <si>
    <t>1.25</t>
  </si>
  <si>
    <t>1.16.510.0030</t>
  </si>
  <si>
    <t>16 S 510 0030</t>
  </si>
  <si>
    <t>Luminária fluorescente completa com 2 lâmpadas de 40 W, tipo calha de sobrepor</t>
  </si>
  <si>
    <t>1.26</t>
  </si>
  <si>
    <t>1.16.170.0110</t>
  </si>
  <si>
    <t>16 S 170 0110</t>
  </si>
  <si>
    <t>Disjuntor monopolar termomagnético de 10 A em quadro de distribuição</t>
  </si>
  <si>
    <t>1.27</t>
  </si>
  <si>
    <t>Fornecimento e Instalação de Disjuntor monofásico EL 15A da marca Eletromar ou Mesmo Padrão (UL)</t>
  </si>
  <si>
    <t>1.28</t>
  </si>
  <si>
    <t>1.16.170.0070</t>
  </si>
  <si>
    <t>16 S 170 0070</t>
  </si>
  <si>
    <t>Disjuntor monopolar termomagnético de 16 A em quadro de distribuição</t>
  </si>
  <si>
    <t>1.29</t>
  </si>
  <si>
    <t>1.16.170.0115</t>
  </si>
  <si>
    <t>16 S 170 0115</t>
  </si>
  <si>
    <t>Disjuntor monopolar termomagnético de 20 A em quadro de distribuição</t>
  </si>
  <si>
    <t>1.30</t>
  </si>
  <si>
    <t>1.16.170.0145</t>
  </si>
  <si>
    <t>16 S 170 0145</t>
  </si>
  <si>
    <t>Disjuntor bipolar termomagnético de 10 A em quadro de distribuição</t>
  </si>
  <si>
    <t>1.31</t>
  </si>
  <si>
    <t>Fornecimento e Instalação de Disjuntor bifásico EL 15A da marca Eletromar ou Mesmo Padrão (UL)</t>
  </si>
  <si>
    <t>1.32</t>
  </si>
  <si>
    <t>1.16.170.0150</t>
  </si>
  <si>
    <t>16 S 170 0150</t>
  </si>
  <si>
    <t>Disjuntor bipolar termomagnético de 16 A em quadro de distribuição</t>
  </si>
  <si>
    <t>1.33</t>
  </si>
  <si>
    <t>1.16.170.0155</t>
  </si>
  <si>
    <t>16 S 170 0155</t>
  </si>
  <si>
    <t>Disjuntor bipolar termomagnético de 20 A em quadro de distribuição</t>
  </si>
  <si>
    <t>1.34</t>
  </si>
  <si>
    <t>1.16.170.0160</t>
  </si>
  <si>
    <t>16 S 170 0160</t>
  </si>
  <si>
    <t>Disjuntor bipolar termomagnético de 25 A em quadro de distribuição</t>
  </si>
  <si>
    <t>1.35</t>
  </si>
  <si>
    <t>1.16.170.0230</t>
  </si>
  <si>
    <t>16 S 170 0230</t>
  </si>
  <si>
    <t>Disjuntor tripolar termomagnético de 50 A em quadro de distribuição</t>
  </si>
  <si>
    <t>1.36</t>
  </si>
  <si>
    <t>Fornecimento e Instalação de Disjuntor trifásico EL 60A  C da marca Eletromar ou Mesmo Padrão (UL)</t>
  </si>
  <si>
    <t>1.37</t>
  </si>
  <si>
    <t>Fornecimento e Instalação de Disjuntor trifásico EL 90A  C da marca Eletromar ou Mesmo Padrão (UL)</t>
  </si>
  <si>
    <t>1.38</t>
  </si>
  <si>
    <t>Fornecimento e Instalação de Disjuntor trifásico EL 120A  CA da marca Eletromar ou Mesmo Padrão (UL)</t>
  </si>
  <si>
    <t>1.39</t>
  </si>
  <si>
    <t>Fornecimento e Instalação de Disjuntor trifásico EL 300A  KI da marca Eletromar ou Mesmo Padrão (UL)</t>
  </si>
  <si>
    <t>1.40</t>
  </si>
  <si>
    <t>1.16.135.0100</t>
  </si>
  <si>
    <t>16 S 135 0100</t>
  </si>
  <si>
    <t>Eletroduto de PVC flexível corrugado Ø 25 mm (3/4 )</t>
  </si>
  <si>
    <t>1.41</t>
  </si>
  <si>
    <t>1.16.135.0105</t>
  </si>
  <si>
    <t>16 S 135 0105</t>
  </si>
  <si>
    <t>Eletroduto de PVC flexível corrugado Ø 32 mm (1 )</t>
  </si>
  <si>
    <t>1.42</t>
  </si>
  <si>
    <t>Abertura e enchimento de rasgos na alvenaria, traço 1:2:8, para passagem de canalização diâmetro 1/2 à 1 pol</t>
  </si>
  <si>
    <t>1.43</t>
  </si>
  <si>
    <t>Fornecimento e instalação de eletroduto de pvc 1 1/2" corrugado tipo kanaflex</t>
  </si>
  <si>
    <t>1.44</t>
  </si>
  <si>
    <t>Fornecimento e instalação de eletroduto flexível  2" Kanaflex de pvc</t>
  </si>
  <si>
    <t>1.45</t>
  </si>
  <si>
    <t>Fornecimento e instalação de eletroduto flexível  3" Kanaflex de pvc</t>
  </si>
  <si>
    <t>1.46</t>
  </si>
  <si>
    <t>Fornecimento e instalação de eletroduto flexível  4" Kanaflex de pvc</t>
  </si>
  <si>
    <t>1.47</t>
  </si>
  <si>
    <t>1.48</t>
  </si>
  <si>
    <t>Fornecimento e projetor retangular, fundo polido para lâmpada mista de 500 W, soquete E-40</t>
  </si>
  <si>
    <t>1.49</t>
  </si>
  <si>
    <t>Fornecimento e projetor retangular, fundo polido para lâmpada mista de 250 W, soquete E-27</t>
  </si>
  <si>
    <t>1.50</t>
  </si>
  <si>
    <t>Fornecimento de lâmpada mista 250w/220v</t>
  </si>
  <si>
    <t>1.51</t>
  </si>
  <si>
    <t>Fornecimento de lâmpada mista 500w/220v</t>
  </si>
  <si>
    <t>1.52</t>
  </si>
  <si>
    <t>Fornecimento e instalação de globo cristal completo com lâmpada econômica espiral de 25 W</t>
  </si>
  <si>
    <t>1.53</t>
  </si>
  <si>
    <t>1.16.520.0010</t>
  </si>
  <si>
    <t>16 S 520 0010</t>
  </si>
  <si>
    <t>Luminária refletora simples para lâmpada de descarga de alta pressão, com alojamento para reator e lâmpada vapor de mercúrio 400 W</t>
  </si>
  <si>
    <t>1.54</t>
  </si>
  <si>
    <t>Fornecimento e instalação de Quadro De Dist Embutir Metálico Com Porta P/ 12 Circuitos com barramento de 100 A</t>
  </si>
  <si>
    <t>1.55</t>
  </si>
  <si>
    <t>Fornecimento e instalação de Quadro De Dist Tripolar Embutir C/ Barramento Com Porta 20 Circuitos 100 A</t>
  </si>
  <si>
    <t>1.56</t>
  </si>
  <si>
    <t>1.16.160.0025</t>
  </si>
  <si>
    <t>16 S 160 0025</t>
  </si>
  <si>
    <t>Quadro de distribuição de luz em chapa de aço de sobrepor, até 32 divisões modulares, dimensões externas 447 x 405 x 95 mm</t>
  </si>
  <si>
    <t>1.57</t>
  </si>
  <si>
    <t>Fornecimento e Instalação de Quadro de distribuição com 40 pos. e barramento de 225 A</t>
  </si>
  <si>
    <t>1.58</t>
  </si>
  <si>
    <t xml:space="preserve">Quadro de barramento trifásico com barramento central de 300 A e secundário de 150 A com caixa e tampa a prova de pó </t>
  </si>
  <si>
    <t>1.59</t>
  </si>
  <si>
    <t>Fornecimento e instalação de  rolo de fita isolante plástica, de 20.00 m</t>
  </si>
  <si>
    <t>1.60</t>
  </si>
  <si>
    <t>Fornecimento e instalação de rolo de fita isolante de alta fusão, de 10.00 m</t>
  </si>
  <si>
    <t>1.61</t>
  </si>
  <si>
    <t>Retirada de quadro de luz e força incl. transporte para local conveniente dentro da obra e/ou caçamba bota fora</t>
  </si>
  <si>
    <t>1.62</t>
  </si>
  <si>
    <t>Retirada, pintura e reinstalação de luminária tipo calha</t>
  </si>
  <si>
    <t>1.63</t>
  </si>
  <si>
    <t>Retirada de ventilador de teto completo incl. transporte para local conveniente dentro da obra e/ou caçamba bota fora</t>
  </si>
  <si>
    <t>1.64</t>
  </si>
  <si>
    <t>Fornecimento e instalação de reator duplo partida rápida 40w/110v para lampada fluorescente</t>
  </si>
  <si>
    <t>1.65</t>
  </si>
  <si>
    <t>Fornecimento e Instalação de Soquete p/ Lâmpada Fluorescente</t>
  </si>
  <si>
    <t>1.66</t>
  </si>
  <si>
    <t xml:space="preserve">Fornecimento e Instalação exaustor de cozinha de 30 cm de diametro </t>
  </si>
  <si>
    <t>1.67</t>
  </si>
  <si>
    <t>Fornecimento De Componentes P/ Aterramento - Haste Aterramento AC De 5/8'' X 2,40m</t>
  </si>
  <si>
    <t>1.68</t>
  </si>
  <si>
    <t>Fornecimento E Instalação De Componentes P/ Aterramento - Conector Cabo/Haste Reforçado</t>
  </si>
  <si>
    <t>POSTO DE TRANSFORMAÇÃO 112,5 kVA</t>
  </si>
  <si>
    <t>***********</t>
  </si>
  <si>
    <t>Poste de concreto armado 11/600 - DT</t>
  </si>
  <si>
    <t>PÇ</t>
  </si>
  <si>
    <t>Fornecimento de Cruzeta de Concreto 90 x 90 x 2000 mm - 250 daN - Retangular</t>
  </si>
  <si>
    <t>Mão francesa plana de 619 mm</t>
  </si>
  <si>
    <t>Parafuso de cabeça quadrada 125 mm</t>
  </si>
  <si>
    <t>Parafuso de cabeça quadrada 250 mm</t>
  </si>
  <si>
    <t>Parafuso de cabeça quadrada 300 mm</t>
  </si>
  <si>
    <t>Parafuso de rosca dupla de 400 mm</t>
  </si>
  <si>
    <t>Suporte de transformação em poste DT</t>
  </si>
  <si>
    <t>Arruela Quadrada</t>
  </si>
  <si>
    <t>Olhal para parafuso</t>
  </si>
  <si>
    <t>Isolador de disco porcelana 150 mm</t>
  </si>
  <si>
    <t>2.12</t>
  </si>
  <si>
    <t>Gancho olhal</t>
  </si>
  <si>
    <t>2.13</t>
  </si>
  <si>
    <t>Chave fusível Tipo C 15 kV, 10 kA</t>
  </si>
  <si>
    <t>2.14</t>
  </si>
  <si>
    <t>Fornecimento de Elo Fusível de Alta Tensão 15 K 500 mm</t>
  </si>
  <si>
    <t>2.15</t>
  </si>
  <si>
    <t>Para-raio de distribuição 12 kV, Polimérico, 10 kA</t>
  </si>
  <si>
    <t>2.16</t>
  </si>
  <si>
    <t>Isolador Pilar 110 kV</t>
  </si>
  <si>
    <t>2.17</t>
  </si>
  <si>
    <t>Fornecimento de Pino Auto Travante 16.00 x 140.00 mm 15/34.5 KV</t>
  </si>
  <si>
    <t>2.18</t>
  </si>
  <si>
    <t>Protetor de bucha de AT ded transformador - 15 kV</t>
  </si>
  <si>
    <t>2.19</t>
  </si>
  <si>
    <t>Caixa tipo DJ-1</t>
  </si>
  <si>
    <t>2.20</t>
  </si>
  <si>
    <t>2.21</t>
  </si>
  <si>
    <t>Arame de aço galvanizado - 12 BWG</t>
  </si>
  <si>
    <t>2.22</t>
  </si>
  <si>
    <t>Fornecimento e instalação de eletroduto de pvc  2 1/2 pol roscável anti-chama em barra de 3 m</t>
  </si>
  <si>
    <t>BR</t>
  </si>
  <si>
    <t>2.23</t>
  </si>
  <si>
    <t>Fornecimento e instalação de eletroduto de pvc  2 pol roscável anti-chama em barra de 3 m</t>
  </si>
  <si>
    <t>2.24</t>
  </si>
  <si>
    <t>Cabeçote de alumínio 60 mm</t>
  </si>
  <si>
    <t>2.25</t>
  </si>
  <si>
    <t>2.26</t>
  </si>
  <si>
    <t>Transformador trifásico de 112,5 kVA, U1 = 13,8 kV - U2 = 220/12</t>
  </si>
  <si>
    <t>2.27</t>
  </si>
  <si>
    <t>Cabo de aço galvanizado 6,4 mm</t>
  </si>
  <si>
    <t>2.28</t>
  </si>
  <si>
    <t>Cabo de cobre flexível isolado 10 mm²</t>
  </si>
  <si>
    <t>2.29</t>
  </si>
  <si>
    <t>Fornecimento de Cabo de Cobre Isolado XLPE 15 KV 16 mm2</t>
  </si>
  <si>
    <t>2.30</t>
  </si>
  <si>
    <t>Manilha Sapatilha</t>
  </si>
  <si>
    <t>2.31</t>
  </si>
  <si>
    <t>Alça Pré-formada</t>
  </si>
  <si>
    <t>2.32</t>
  </si>
  <si>
    <t>Laço pré-formado de topo</t>
  </si>
  <si>
    <t>2.33</t>
  </si>
  <si>
    <t>Fornecimento de Conector Derivação p/Linha Viva 6 - 250</t>
  </si>
  <si>
    <t>2.34</t>
  </si>
  <si>
    <t>Fornecimento de Conector Derivação Cunha  Tipo Estribo Normal (626222-1 - AMP - Vermelho)</t>
  </si>
  <si>
    <t>2.35</t>
  </si>
  <si>
    <t>Fornecimento de Conector Derivação Tipo Cunha - AMP - Tipo II ou Similar</t>
  </si>
  <si>
    <t>2.36</t>
  </si>
  <si>
    <t>Cartucho para conector cunha (vermelho)</t>
  </si>
  <si>
    <t>2.37</t>
  </si>
  <si>
    <t>2.38</t>
  </si>
  <si>
    <t>Fornecimento de Conector Transversal Tipo Cunha Para Aterramento 5/8"" x ( 25 a 35 mm)</t>
  </si>
  <si>
    <t>2.39</t>
  </si>
  <si>
    <t>Fornecimento e Instalação de Cabo de cobre nú seção 50.00 mm2</t>
  </si>
  <si>
    <t>2.40</t>
  </si>
  <si>
    <t>Areia Grossa</t>
  </si>
  <si>
    <t>2.41</t>
  </si>
  <si>
    <t>Brita nº 2</t>
  </si>
  <si>
    <t>2.42</t>
  </si>
  <si>
    <t>Cimento - SC 50 Kg</t>
  </si>
  <si>
    <t>2.43</t>
  </si>
  <si>
    <t>Custo do Serviço
Boletim Sinfra Setembro/08</t>
  </si>
  <si>
    <t>A)</t>
  </si>
  <si>
    <t>DRENAGEM DE ÁGUAS PLUVIAIS</t>
  </si>
  <si>
    <t>1.02.690.0050</t>
  </si>
  <si>
    <t>02 S 690 0050</t>
  </si>
  <si>
    <t>Caixa de inspeção em alvenaria - escavação manual com apiloamento do fundo</t>
  </si>
  <si>
    <t>**************</t>
  </si>
  <si>
    <r>
      <t xml:space="preserve">Caixa de inspeção em alvenaria - 1/2 tijolo comum maciço revestido internamente com
 argamassa de cimento e areia sem peneirar traço 1:3, lastro de concreto e=10 cm, dimensões 80 x 80 x 60 cm (com grelha de metal para coleta de </t>
    </r>
    <r>
      <rPr>
        <b/>
        <sz val="11"/>
        <color indexed="12"/>
        <rFont val="Arial"/>
        <family val="2"/>
      </rPr>
      <t>água pluvial</t>
    </r>
    <r>
      <rPr>
        <sz val="11"/>
        <rFont val="Arial"/>
        <family val="2"/>
      </rPr>
      <t>)</t>
    </r>
  </si>
  <si>
    <r>
      <t xml:space="preserve">Caixa de inspeção em alvenaria - 1/2 tijolo comum maciço revestido internamente com
 argamassa de cimento e areia sem peneirar traço 1:3, lastro de concreto e=10 cm, dimensões 1,0 x 1,0 x 60 cm (com grelha de metal para coleta de </t>
    </r>
    <r>
      <rPr>
        <b/>
        <sz val="11"/>
        <color indexed="12"/>
        <rFont val="Arial"/>
        <family val="2"/>
      </rPr>
      <t>água pluvial</t>
    </r>
    <r>
      <rPr>
        <sz val="11"/>
        <rFont val="Arial"/>
        <family val="2"/>
      </rPr>
      <t>)</t>
    </r>
  </si>
  <si>
    <t>1.04.210.0050</t>
  </si>
  <si>
    <t>04 S 210 0050</t>
  </si>
  <si>
    <t>Alvenaria de vedação com tijolo comum 5,7 x 9 x 19 cm, epessura da parede 9 cm, juntas de 12 mm com argamassa mista de cimento, saibro e areia sem peneirar traço 1:0,5:2,5 - tipo 5 -</t>
  </si>
  <si>
    <t>1.09.710.0100</t>
  </si>
  <si>
    <t>09 S 710 0100</t>
  </si>
  <si>
    <t>Reboco para parede interna, com argamassa de cimento e areia peneirada traço 1:1,5, com aditivo impermeabilizante, acabamento liso, e=5 mm</t>
  </si>
  <si>
    <t>****************</t>
  </si>
  <si>
    <t>Fornecimento e Instalação de Grelha retangular em concreto (40x50x05cm)</t>
  </si>
  <si>
    <t>Área</t>
  </si>
  <si>
    <t>Volume escavação</t>
  </si>
  <si>
    <t>Lastro concreto</t>
  </si>
  <si>
    <t>Volume escavação caixa inspeção 0,8x0,8x0,6</t>
  </si>
  <si>
    <t>Volume escavação caixa inspeção 1,0x1,0x0,6</t>
  </si>
  <si>
    <t>x</t>
  </si>
  <si>
    <t>Alvenaria de vedação/chapisco/reboco</t>
  </si>
  <si>
    <t>GRUPO A</t>
  </si>
  <si>
    <t>DESPESAS INDIRETAS</t>
  </si>
  <si>
    <t>AC</t>
  </si>
  <si>
    <t>Administração Central e Local</t>
  </si>
  <si>
    <t>SG</t>
  </si>
  <si>
    <t>Seguro  e Garantia</t>
  </si>
  <si>
    <t>R</t>
  </si>
  <si>
    <t>Riscos</t>
  </si>
  <si>
    <t>TOTAL GRUPO A</t>
  </si>
  <si>
    <t>GRUPO B</t>
  </si>
  <si>
    <t>BONIFICAÇÃO</t>
  </si>
  <si>
    <t>DF</t>
  </si>
  <si>
    <t>Despesas Financeiras</t>
  </si>
  <si>
    <t>TOTAL GRUPO B</t>
  </si>
  <si>
    <t>GRUPO C</t>
  </si>
  <si>
    <t>L</t>
  </si>
  <si>
    <t>Lucro</t>
  </si>
  <si>
    <t>TOTAL GRUPO C</t>
  </si>
  <si>
    <t>GRUPO D</t>
  </si>
  <si>
    <t>IMPOSTOS</t>
  </si>
  <si>
    <t>F</t>
  </si>
  <si>
    <t>PIS</t>
  </si>
  <si>
    <t>G</t>
  </si>
  <si>
    <t>Cofins</t>
  </si>
  <si>
    <t>ISSQN</t>
  </si>
  <si>
    <t>TOTAL GRUPO D</t>
  </si>
  <si>
    <t>TAXA TOTAL DE BDI</t>
  </si>
  <si>
    <t>SERVIÇOS DE FUNDAÇÃO POSTE CONCRETO</t>
  </si>
  <si>
    <t>PONTALETE DE MADEIRA NAO APARELHADA *7,5 X 7,5* CM (3 X 3 ") PINUS, MISTA OU EQUIVALENTE DA REGIAO - BRUTA</t>
  </si>
  <si>
    <t>3052-4200</t>
  </si>
  <si>
    <t>VENDEDOR</t>
  </si>
  <si>
    <t>PROTETOR ISOLANTE PARA BUCHA/PARA RAIO -  PVC</t>
  </si>
  <si>
    <t>CONECTOR CUNHA ESTRIBO COM CAPA - 50 MM</t>
  </si>
  <si>
    <t>FIXADOR DE PERFIL U - EST. CUF3</t>
  </si>
  <si>
    <t>ISOLADOR BASTÃO SUSPENSÃO POLIMÉRICO 15 KV</t>
  </si>
  <si>
    <t>MÃO FRANCESA PLANA NORMAL 619 MM</t>
  </si>
  <si>
    <t xml:space="preserve">PINO AUTO TRAVANTE  100 MM PARA ISOLADOR </t>
  </si>
  <si>
    <t>FITA ACO INOX PARA CINTAR POSTE, L = 19 MM, E = 0,5 MM (ROLO DE 30M)</t>
  </si>
  <si>
    <t>CORDOALHA DE AÇO ZINCADO 9,5 MM - MENSAGEIRO REDE MT</t>
  </si>
  <si>
    <t>3388 - 0800</t>
  </si>
  <si>
    <t xml:space="preserve">ESPAÇADOR LOSANGULAR VERTICAL - C/ TRAVA </t>
  </si>
  <si>
    <t>ANEL DE AMARAÇÃO - SILICONE</t>
  </si>
  <si>
    <t>SUPORTE L - EST. CLEA1</t>
  </si>
  <si>
    <t>ESTRIBO PARA SUPORTE L - EST. CLEA1</t>
  </si>
  <si>
    <t>ISOLADOR PINO POLIMÉRICO 15KV</t>
  </si>
  <si>
    <t>PARAFUSO M16 EM ACO GALVANIZADO, COMPRIMENTO = 150 MM, DIAMETRO = 16 MM, ROSCA MAQUINA, CABECA QUADRADA</t>
  </si>
  <si>
    <t>PARAFUSO FRANCES M16 EM ACO GALVANIZADO, COMPRIMENTO = 45 MM, DIAMETRO = 16MM, CABECA ABAULADA</t>
  </si>
  <si>
    <t>FITA ISOLANTE DE BORRACHA AUTOFUSAO, USO ATE 69 KV (ALTA TENSAO)</t>
  </si>
  <si>
    <t>FITA ISOLANTE</t>
  </si>
  <si>
    <t>FITA ISOLANTE ADESIVA ANTICHAMA, USO ATE 750 V, EM ROLO DE 19 MM X 20 M</t>
  </si>
  <si>
    <t>6.6</t>
  </si>
  <si>
    <t>6.7</t>
  </si>
  <si>
    <t xml:space="preserve">ESCAVAÇÃO MANUAL DE VALA COM PROFUNDIDADE MENOR OU IGUAL A 1,30 M. AF_ 02/2021 </t>
  </si>
  <si>
    <t xml:space="preserve">REATERRO MANUAL APILOADO COM SOQUETE. AF_10/2017 </t>
  </si>
  <si>
    <t>ASSENTAMENTO DE POSTE DE CONCRETO COM COMPRIMENTO NOMINAL DE 11 M, CARGA NOMINAL DE 600 DAN, ENGASTAMENTO BASE CONCRETADA COM 1 M DE CONCRETO E 0,7 M DE SOLO (NÃO INCLUI FORNECIMENTO). AF_11/2019</t>
  </si>
  <si>
    <t>65 3052-4200</t>
  </si>
  <si>
    <t>65 3388-0800</t>
  </si>
  <si>
    <t>FECHO PARA FITA AÇO INOX</t>
  </si>
  <si>
    <t>FORNECIMENTO E INSTALAÇÃO POSTE DT 11/600</t>
  </si>
  <si>
    <t>65 3025-4300</t>
  </si>
  <si>
    <t>CONCRETO FCK = 15MPA, TRAÇO 1:3,4:3,5 (EM MASSA SECA DE CIMENTO/ AREIA MÉDIA/ BRITA 1) - PREPARO MECÂNICO COM BETONEIRA 400 L. AF_05/202</t>
  </si>
  <si>
    <t>OBSERVAÇÃO: REFERÊNCIA PARA ADOÇÃO DOS COEFICIENTES DE CONSUMO: 12521/ORSE. PORTANTO, O INSUMO SAPATILHA EM AÇO 5/8'' FOI UTILIZADO A MÃO DE OBRA NO BOLETIM ORSE - MAIO / 2021.</t>
  </si>
  <si>
    <t>OBSERVAÇÃO: REFERÊNCIA PARA ADOÇÃO DOS COEFICIENTES DE CONSUMO: 12464/ORSE. PORTANTO, O INSUMO PARAFUSO M16 EM QUESTÃO  FOI UTILIZADO A MÃO DE OBRA DO PARAFUSO CABEÇA CHATA. BOLETIM ORSE - MAIO/ 2021.</t>
  </si>
  <si>
    <t>OBSERVAÇÃO: REFERÊNCIA PARA ADOÇÃO DOS COEFICIENTES DE CONSUMO: 12506/ORSE. PORTANTO, O INSUMO ARRUELA QUADRADA EM QUESTÃO  FOI UTILIZADO A MÃO DE OBRA DA ARRUELA LISA 3/8''. BOLETIM ORSE - MAIO/ 2021.</t>
  </si>
  <si>
    <t>OBSERVAÇÃO: REFERÊNCIA PARA ADOÇÃO DOS COEFICIENTES DE CONSUMO: 721/ORSE. PORTANTO, O INSUMO PORCA OLHAL EM QUESTÃO  FOI UTILIZADO A MÃO DE OBRA DA PORCA SEXTAVADA. BOLETIM ORSE - FEVEREIRO/ 2021.</t>
  </si>
  <si>
    <t>OBSERVAÇÃO: REFERÊNCIA PARA ADOÇÃO DOS COEFICIENTES DE CONSUMO: 469/ORSE. PORTANTO, O INSUMO CHAVE FUSÍVEL EM QUESTÃO  FOI UTILIZADO A MÃO DE OBRA DA CHAVE FUSIVEL TRIPOLAR. BOLETIM ORSE - FEVEREIRO/ 2021.</t>
  </si>
  <si>
    <t>OBSERVAÇÃO: REFERÊNCIA PARA ADOÇÃO DOS COEFICIENTES DE CONSUMO: 78631/SBC. PORTANTO, O INSUMO CRUZETA DE CONCRETO LEVE 2000MM  EM QUESTÃO FOI UTILIZADO A MÃO DE OBRA DA CRUZETA DE CONCRETO PADRAO 1900MM. BOLETIM SBC - JUNHO/2021.</t>
  </si>
  <si>
    <t>OBSERVAÇÃO: REFERÊNCIA PARA ADOÇÃO DOS COEFICIENTES DE CONSUMO:  101553/SINAPI. PORTANTO, O INSUMO ALÇA PREFORMADA 3/8'' EM QUESTÃO FOI UTILIZADO A MÃO DE OBRA DA ALÇA PREFORMADA DE DISTRIBUIÇÃO AWG 1. BOLETIM SINAPI - MAIO/2021.</t>
  </si>
  <si>
    <t>OBSERVAÇÃO: REFERÊNCIA PARA ADOÇÃO DOS COEFICIENTES DE CONSUMO: 12522/ORSE. PORTANTO, O INSUMO GANCHO OLHAL 16MM EM QUESTÃO  FOI UTILIZADO A MÃO DE OBRA DO ESTICADOR OLHAL BOLETIM ORSE - FEVEREIRO/ 2021.</t>
  </si>
  <si>
    <t>OBSERVAÇÃO: REFERÊNCIA PARA ADOÇÃO DOS COEFICIENTES DE CONSUMO: 12521/ORSE. PORTANTO, O INSUMO SAPATILHA EM AÇO GALVANIZADO EM QUESTÃO  FOI UTILIZADO A MÃO DE OBRA DA SAPATILHA EM AÇO PARA CABO 5/8''. BOLETIM ORSE - FEVEREIRO/ 2021.</t>
  </si>
  <si>
    <t>OBSERVAÇÃO: REFERÊNCIA PARA ADOÇÃO DOS COEFICIENTES DE CONSUMO: 9508/ORSE. PORTANTO, O INSUMO CORDOALHA DE AÇO ZINCADO EM QUESTÃO  FOI UTILIZADO A MÃO DE OBRA DO CABO DE COBRE EPR 35MM² 15KV. BOLETIM ORSE - FEVEREIRO/ 2021.</t>
  </si>
  <si>
    <t>OBSERVAÇÃO: REFERÊNCIA PARA ADOÇÃO DOS COEFICIENTES DE CONSUMO: 1201008426/AGESUL. PORTANTO, O INSUMO ESPAÇADOR LOSANGULAR EM QUESTÃO  FOI UTILIZADO A MÃO DE OBRA DO ESPAÇADOR LOSANGULAR 15/35KV. BOLETIM AGESUL - JANEIRO/ 2021.</t>
  </si>
  <si>
    <t>OBSERVAÇÃO: REFERÊNCIA PARA ADOÇÃO DOS COEFICIENTES DE CONSUMO: 1201008428/AGESUL. PORTANTO, O INSUMO SUPORTE L EM QUESTÃO  FOI UTILIZADO A MÃO DE OBRA DO BRAÇO SUPORTE L. BOLETIM AGESUL - JANEIRO/ 2021.</t>
  </si>
  <si>
    <t>OBSERVAÇÃO: REFERÊNCIA PARA ADOÇÃO DOS COEFICIENTES DE CONSUMO: 9977/ORSE. PORTANTO, O INSUMO GANCHO OLHAL EM AÇO 16MM EM QUESTÃO  FOI UTILIZADO A MÃO DE OBRA DO GANCHO COM BUCHA 8MM. BOLETIM ORSE - FEVEREIRO/ 2021.</t>
  </si>
  <si>
    <t>OBSERVAÇÃO: REFERÊNCIA PARA ADOÇÃO DOS COEFICIENTES DE CONSUMO: 69.20.070/CPOS. PORTANTO, O INSUMO FITA AÇO INOX EM QUESTÃO  FOI UTILIZADO A MÃO DE OBRA DA FITA EM AÇO INOXIDÁVEL PARA POSTE. BOLETIM CPOS - MARÇO/ 2021.</t>
  </si>
  <si>
    <t>OBSERVAÇÃO: REFERÊNCIA PARA ADOÇÃO DOS COEFICIENTES DE CONSUMO: 059104/SBC. PORTANTO, O INSUMO GRAMPO PARA HASTE GTDU EM QUESTÃO  FOI UTILIZADO A MÃO DE OBRA DO GRAMPO ATERRAMENTO 70MM. BOLETIM SBC - JUNHO/ 2021.</t>
  </si>
  <si>
    <t>OBSERVAÇÃO: REFERÊNCIA PARA ADOÇÃO DOS COEFICIENTES DE CONSUMO: 1201008418/AGESUL. PORTANTO, O INUSMO CONECTOR CUNHA ESTRIBO COM CAPA EM QUESTÃO  FOI UTILIZADO A MÃO DE OBRA DO CONECTOR CUNHA ESTRIBO PARA CABO 50MM. BOLETIM AGESUL - JANEIRO/ 2021.</t>
  </si>
  <si>
    <t>OBSERVAÇÃO: REFERÊNCIA PARA ADOÇÃO DOS COEFICIENTES DE CONSUMO: 9508/ORSE. PORTANTO, O INUSMO CABO DE COBRE 16MM EM QUESTÃO  FOI UTILIZADO A MÃO DE OBRA DO CABO DE COBRE ISOLADO 35MM². BOLETIM ORSE - FEVEREIRO/ 2021.</t>
  </si>
  <si>
    <t>OBSERVAÇÃO: REFERÊNCIA PARA ADOÇÃO DOS COEFICIENTES DE CONSUMO: 040130/SBC. PORTANTO, O INUSMO PERFIL U EM QUESTÃO  FOI UTILIZADO A MÃO DE OBRA DO PERFIL ACO ''''U''''. BOLETIM SBC - JUNHO/ 2021.</t>
  </si>
  <si>
    <t>OBSERVAÇÃO: REFERÊNCIA PARA ADOÇÃO DOS COEFICIENTES DE CONSUMO: 1201008136/AGESUL. PORTANTO, O INUSMO MANILHA SAPATILHA EM QUESTÃO  FOI UTILIZADO A MÃO DE OBRA DA MANILHA SAPATILHA. BOLETIM AGESUL - JANEIRO/ 2021.</t>
  </si>
  <si>
    <t>OBSERVAÇÃO: REFERÊNCIA PARA ADOÇÃO DOS COEFICIENTES DE CONSUMO: 3467/ORSE. PORTANTO, O INUSMO ISOLADOR BASTÃO 15KV EM QUESTÃO  FOI UTILIZADO A MÃO DE OBRA DO ISOLADOR PINO DE VIDRO 15KV. BOLETIM ORSE - FEVEREIRO/ 2021.</t>
  </si>
  <si>
    <t>OBSERVAÇÃO: REFERÊNCIA PARA ADOÇÃO DOS COEFICIENTES DE CONSUMO: 12536/ORSE. PORTANTO, O INUSMO MÃO FRANCESA PLANA 619MM EM QUESTÃO  FOI UTILIZADO A MÃO DE OBRA DA MÃO FRANCESA REFORÇADA 100 X 1400MM. BOLETIM ORSE - FEVEREIRO/ 2021.</t>
  </si>
  <si>
    <t>OBSERVAÇÃO: REFERÊNCIA PARA ADOÇÃO DOS COEFICIENTES DE CONSUMO: 3467/ORSE. PORTANTO, O INUSMO ISOLADOR PINO 15KV EM QUESTÃO  FOI UTILIZADO A MÃO DE OBRA DO ISOLADOR PINO DE VIDRO 15KV. BOLETIM ORSE - FEVEREIRO/ 2021.</t>
  </si>
  <si>
    <t>OBSERVAÇÃO: REFERÊNCIA PARA ADOÇÃO DOS COEFICIENTES DE CONSUMO: 3467/ORSE. PORTANTO, O INUSMO PINO PARA ISOLADOR EM QUESTÃO  FOI UTILIZADO A MÃO DE OBRA DO ISOLADOR PINO DE VIDRO 15KV. BOLETIM ORSE - FEVEREIRO/ 2021.</t>
  </si>
  <si>
    <t>OBSERVAÇÃO: REFERÊNCIA PARA ADOÇÃO DOS COEFICIENTES DE CONSUMO: 12876/ORSE. PORTANTO, O INUSMO PARA-RAIO DE DISTRIBUIÇÃO 15 KV EM QUESTÃO  FOI UTILIZADO A MÃO DE OBRA DO PARA RAIO TIPO POLIMÉRICO 15KV. BOLETIM ORSE - FEVEREIRO/ 2021.</t>
  </si>
  <si>
    <t>OBSERVAÇÃO: REFERÊNCIA PARA ADOÇÃO DOS COEFICIENTES DE CONSUMO: 69.20.070/CPOS. PORTANTO, O INSUMO FECHO PARA FITA EM QUESTÃO  FOI UTILIZADO A MÃO DE OBRA DA FITA EM AÇO INOXIDÁVEL PARA POSTE. BOLETIM CPOS - MARÇO/ 2021.</t>
  </si>
  <si>
    <t>FITA ISOLANTE AUTO FUSÃO</t>
  </si>
  <si>
    <t>OBSERVAÇÃO: REFERÊNCIA PARA ADOÇÃO DOS COEFICIENTES DE CONSUMO: 1201007005/AGESUL. PORTANTO, O INUSMO FITA ISOLANTE AUTO FUSÃO EM QUESTÃO  FOI UTILIZADO A MÃO DE OBRA DA FITA ISOLATE AUTO FUSÃO. BOLETIM AGESUL - JANEIRO/ 2021.</t>
  </si>
  <si>
    <t>OBSERVAÇÃO: REFERÊNCIA PARA ADOÇÃO DOS COEFICIENTES DE CONSUMO: 1201007004/AGESUL. PORTANTO, O INUSMO FITA ISOLANTE EM QUESTÃO  FOI UTILIZADO A MÃO DE OBRA DA FITA ISOLATE. BOLETIM AGESUL - JANEIRO/ 2021.</t>
  </si>
  <si>
    <t>OBSERVAÇÃO: REFERÊNCIA PARA ADOÇÃO DOS COEFICIENTES DE CONSUMO: 040130/SBC. PORTANTO, O INUSMO FIXADOR DE PERFIL U EM QUESTÃO  FOI UTILIZADO A MÃO DE OBRA DO PERFIL ACO ''''U''''. BOLETIM SBC - JUNHO/ 2021.</t>
  </si>
  <si>
    <t>OBSERVAÇÃO: REFERÊNCIA PARA ADOÇÃO DOS COEFICIENTES DE CONSUMO: 072145/AGETOP CIVIL. PORTANTO, O INUSMO PROTETOR ISOLANTE PARA BUCHA EM QUESTÃO  FOI UTILIZADO A MÃO DE OBRA DO PROTETOR PARA PARA-RAIO POLIMÉRICO. BOLETIM AGETOP CIVIL - NOVEMBRO/ 2020.</t>
  </si>
  <si>
    <t>OBSERVAÇÃO: REFERÊNCIA PARA ADOÇÃO DOS COEFICIENTES DE CONSUMO: 1201008392/AGESUL. PORTANTO, O INSUMO ANEL DE AMARRAÇÃO EM QUESTÃO  FOI UTILIZADO A MÃO DE OBRA DO ANEL ESPACADOR LOSNAGULAR. BOLETIM AGESUL - JANEIRO/ 2021.</t>
  </si>
  <si>
    <t>OBSERVAÇÃO: REFERÊNCIA PARA ADOÇÃO DOS COEFICIENTES DE CONSUMO: ELE-BRÇ-005/SETOP. PORTANTO, O INUSMO CINTA PARA POSTE CIRCULAR EM QUESTÃO  FOI UTILIZADO A MÃO DE OBRA DA ABRAÇADEIRA PARA POSTE. BOLETIM SETOP - MAIO/ 2021.</t>
  </si>
  <si>
    <t>PIZZATTO - 04.181.115/0001-80</t>
  </si>
  <si>
    <t xml:space="preserve">NOME DA EMPRESA FORNECEDORA / CNPJ </t>
  </si>
  <si>
    <t>BRANEL - 07.624.206/0001-31</t>
  </si>
  <si>
    <t>ELÉTRICA PARANÁ - 08.139.615/0001-05</t>
  </si>
  <si>
    <t xml:space="preserve">COTELETRICA - 07.237.858/0001-13 </t>
  </si>
  <si>
    <t>OBSERVAÇÃO: REFERÊNCIA PARA ADOÇÃO DOS COEFICIENTES DE CONSUMO: 1201008418/AGESUL. PORTANTO, O INUSMO ESTRIBO PARA SUPORTE L EM QUESTÃO  FOI UTILIZADO A MÃO DE OBRA DO CONECTOR CUNHA ESTRIBO PARA CABO 50MM. BOLETIM AGESUL - JANEIRO/ 2021.</t>
  </si>
  <si>
    <t>ELO FUSIVEL 3H</t>
  </si>
  <si>
    <t>CABO DE COBRE NU 50 MM2 MEIO-DURO</t>
  </si>
  <si>
    <t>A MÃO DE OBRA DO ENGENHEIRO ELETRICISTA FOI BASEADA NO ACOMPANHAMENTO SEMANAL DE 16 HORAS, SENDO 3,2 HORAS DIÁRIAS.</t>
  </si>
  <si>
    <t>***</t>
  </si>
  <si>
    <t>ARRUELA EM ALUMINIO, COM ROSCA, DE 3", PARA ELETRODUTO</t>
  </si>
  <si>
    <t>SINAPI/INSUMOS</t>
  </si>
  <si>
    <t>OBSERVAÇÃO: REFERÊNCIA PARA ADOÇÃO DOS COEFICIENTES DE CONSUMO:  97438/ORSE. PORTANTO, O INSUMO CURVA 90 AÇO 80MM EM QUESTÃO FOI UTILIZADO A MÃO DE OBRA DA CURVA 90 GRAUS, EM AÇO, DN 80MM(3"). BOLETIM ORSE - MARÇO/2022.</t>
  </si>
  <si>
    <t>CABO COBRE ISOLADO XLPE 0,6/1KV - 95 MM</t>
  </si>
  <si>
    <t>CABO COBRE ISOLADO XLPE 0,6/1KV - NEUTRO - 50 MM</t>
  </si>
  <si>
    <t>TERMINAL COMPRESSÃO OLHAL 95mm</t>
  </si>
  <si>
    <t>OBSERVAÇÃO: REFERÊNCIA PARA ADOÇÃO DOS COEFICIENTES DE CONSUMO: 059104/SBC. PORTANTO, O INSUMO GRAMPO OLHAL PARA HASTE DE ATERRAMENTO  EM QUESTÃO  FOI UTILIZADO A MÃO DE OBRA DO GRAMPO ATERRAMENTO 70MM. BOLETIM SBC - JUNHO/ 2021.</t>
  </si>
  <si>
    <t>GRAMPO OLHAL PARA HASTE DE ATERRAMENTO 5/8''</t>
  </si>
  <si>
    <t>CINTA PARA POSTE CIRCULAR 210 MM</t>
  </si>
  <si>
    <t>OBSERVAÇÃO: REFERÊNCIA PARA ADOÇÃO DOS COEFICIENTES DE CONSUMO: 102110/SINAPI. PORTANTO, O INSUMO SUPORTE EM AÇO GALVANIZADO PARA TRANSFORMADOR EM QUESTÃO  FOI UTILIZADO A MÃO DE OBRA DO SUPORTE PARA TRANSFORMADOR EM POSTE DE CONCRETO DUPLO T. BOLETIM SINAPI - NOVEMBRO/ 2021.</t>
  </si>
  <si>
    <t>POSTE DE CONCRETO CIRCULAR 11/600</t>
  </si>
  <si>
    <t>FORNECIMENTO E INSTALAÇÃO POSTE CIRCULAR 11/600</t>
  </si>
  <si>
    <t>CABECOTE PARA ENTRADA DE LINHA DE ALIMENTACAO PARA ELETRODUTO, EM LIGA DE ALUMINIO COM ACABAMENTO ANTI CORROSIVO, COM FIXACAO POR ENCAIXE LISO DE 360 GRAUS, DE 3"</t>
  </si>
  <si>
    <t>TERMINAL COMPRESSÃO OLHAL 50mm²</t>
  </si>
  <si>
    <t>ELO FUSIVEL 5H</t>
  </si>
  <si>
    <t>ELO FUSIVEL 10K</t>
  </si>
  <si>
    <t>OBSERVAÇÃO: REFERÊNCIA PARA ADOÇÃO DOS COEFICIENTES DE CONSUMO: 3769/ORSE. PORTANTO, O INSUMO ELO FUSIVEL 3H EM QUESTÃO  FOI UTILIZADO A MÃO DE OBRA DO ELO FUSIVEL TIPO 10K. BOLETIM ORSE - FEVEREIRO/ 2021.</t>
  </si>
  <si>
    <t>OBSERVAÇÃO: REFERÊNCIA PARA ADOÇÃO DOS COEFICIENTES DE CONSUMO: 3769/ORSE. PORTANTO, O INSUMO ELO FUSIVEL 5H EM QUESTÃO  FOI UTILIZADO A MÃO DE OBRA DO ELO FUSIVEL TIPO 10K. BOLETIM ORSE - FEVEREIRO/ 2021.</t>
  </si>
  <si>
    <t>OBSERVAÇÃO: REFERÊNCIA PARA ADOÇÃO DOS COEFICIENTES DE CONSUMO: 3769/ORSE. PORTANTO, O INSUMO ELO FUSIVEL 10K EM QUESTÃO  FOI UTILIZADO A MÃO DE OBRA DO ELO FUSIVEL TIPO 10K. BOLETIM ORSE - FEVEREIRO/ 2021.</t>
  </si>
  <si>
    <t>CABO COBRE ISOLADO XLPE 0,6/1KV - 185 MM</t>
  </si>
  <si>
    <t>FORNECIMENTO E INSTALAÇÃO TRANSFORMADOR TRIFASICO DE DISTRIBUICAO, POTENCIA DE 112,5 KVA</t>
  </si>
  <si>
    <t>TRANSFORMADOR TRIFASICO DE DISTRIBUICAO, POTENCIA DE 112,5 KVA, TENSAO NOMINAL DE 15 KV, TENSAO SECUNDARIA DE 220/127V, EM OLEO ISOLANTE TIPO MINERAL</t>
  </si>
  <si>
    <t>FORNECIMENTO E INSTALAÇÃO TRANSFORMADOR TRIFASICO DE DISTRIBUICAO, POTENCIA DE 225 KVA</t>
  </si>
  <si>
    <t>TERMINAL COMPRESSÃO OLHAL 185mm</t>
  </si>
  <si>
    <t>FORNECIMENTO E INSTALAÇÃO POSTE DT 11/1000</t>
  </si>
  <si>
    <t>FORNECIMENTO E INSTALAÇÃO POSTE CIRCULAR 11/1000</t>
  </si>
  <si>
    <t>POSTE DE CONCRETO CIRCULAR 11/1000</t>
  </si>
  <si>
    <t>ASSENTAMENTO DE POSTE DE CONCRETO COM COMPRIMENTO NOMINAL DE 11 M, CARGA NOMINAL DE 1000 DAN, ENGASTAMENTO BASE CONCRETADA COM 1 M DE CONCRETO E 0,7 M DE SOLO (NÃO INCLUI FORNECIMENTO). AF_11/2019</t>
  </si>
  <si>
    <t>BRAÇO TIPO L</t>
  </si>
  <si>
    <t>ELETRODUTO DE AÇO GALVANIZADO - FOGO - 100 MM² X 3M (BARRA)</t>
  </si>
  <si>
    <t>CABECOTE PARA ENTRADA DE LINHA DE ALIMENTACAO PARA ELETRODUTO, EM LIGA DE ALUMINIO COM ACABAMENTO ANTI CORROSIVO, COM FIXACAO POR ENCAIXE LISO DE 360 GRAUS, DE 4"</t>
  </si>
  <si>
    <t>BRAÇO TIPO C</t>
  </si>
  <si>
    <t>MANILHA TORCIDA</t>
  </si>
  <si>
    <t>MÃO FRANCESA PERFILADA</t>
  </si>
  <si>
    <t>BRAÇO AFASTADOR HORIZONTAL</t>
  </si>
  <si>
    <t>CANTONEIRA AUXILIAR PARA BRAÇO TIPO C</t>
  </si>
  <si>
    <t>ALÇA PREFORMADA ESTAI 2"</t>
  </si>
  <si>
    <t>PARAFUSO ZINCADO, SEXTAVADO, COM ROSCA INTEIRA, DIAMETRO 5/8''</t>
  </si>
  <si>
    <t>OBSERVAÇÃO: REFERÊNCIA PARA ADOÇÃO DOS COEFICIENTES DE CONSUMO: 12464/ORSE. PORTANTO, O INSUMO PARAFUSO ZINCADO, COM ROSCA INTEIRA EM QUESTÃO  FOI UTILIZADO A MÃO DE OBRA DO PARAFUSO CABEÇA CHATA. BOLETIM ORSE - MAIO/ 2021.</t>
  </si>
  <si>
    <t>SUPORTE PARA TRANSFORMADOR EM POSTE DE CONCRETO CIRCULAR - FORNECIMENTO E INSTALAÇÃO</t>
  </si>
  <si>
    <t>HASTE DE ATERRAMENTO 5/8'' - FORNECIMENTO E INSTALAÇÃO</t>
  </si>
  <si>
    <t xml:space="preserve">CAIXA DE INSPEÇÃO PARA ATERRAMENTO, CIRCULAR, EM POLETILENO, DIÂMETRO INTERNO = 0,3 M </t>
  </si>
  <si>
    <t>6.8</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</si>
  <si>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</si>
  <si>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</si>
  <si>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</si>
  <si>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</si>
  <si>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</si>
  <si>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</si>
  <si>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</si>
  <si>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</si>
  <si>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</si>
  <si>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</si>
  <si>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</si>
  <si>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</si>
  <si>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</si>
  <si>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</si>
  <si>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</si>
  <si>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</si>
  <si>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</si>
  <si>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</si>
  <si>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</si>
  <si>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</si>
  <si>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</si>
  <si>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</si>
  <si>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</si>
  <si>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</si>
  <si>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</si>
  <si>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</si>
  <si>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</si>
  <si>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</si>
  <si>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</si>
  <si>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</si>
  <si>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</si>
  <si>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</si>
  <si>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</si>
  <si>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</si>
  <si>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</si>
  <si>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</si>
  <si>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7.5</t>
  </si>
  <si>
    <t>7.6</t>
  </si>
  <si>
    <t>7.7</t>
  </si>
  <si>
    <t>7.8</t>
  </si>
  <si>
    <t>7.9</t>
  </si>
  <si>
    <t>7.10</t>
  </si>
  <si>
    <t>7.11</t>
  </si>
  <si>
    <t>7.12</t>
  </si>
  <si>
    <t>7.13</t>
  </si>
  <si>
    <t>7.14</t>
  </si>
  <si>
    <t>7.15</t>
  </si>
  <si>
    <t>7.16</t>
  </si>
  <si>
    <t>7.17</t>
  </si>
  <si>
    <t>7.18</t>
  </si>
  <si>
    <t>7.19</t>
  </si>
  <si>
    <t>7.20</t>
  </si>
  <si>
    <t>7.21</t>
  </si>
  <si>
    <t>4.44</t>
  </si>
  <si>
    <t>4.45</t>
  </si>
  <si>
    <t>OBSERVAÇÃO: REFERÊNCIA PARA ADOÇÃO DOS COEFICIENTES DE CONSUMO:1201008428/AGESUL. PORTANTO, O INSUMO BRAÇO TIPO L EM QUESTÃO  FOI UTILIZADO A MÃO DE OBRA DO BRAÇO SUPORTE TIPO L. BOLETIM AGESUL - JANEIRO/ 2022.</t>
  </si>
  <si>
    <t>OBSERVAÇÃO: REFERÊNCIA PARA ADOÇÃO DOS COEFICIENTES DE CONSUMO: 171052/SEDOP. PORTANTO, O INSUMO MANILHA TORCIDA EM QUESTÃO  FOI UTILIZADO A MÃO DE OBRA DO MANILHA SAPATILHA GALVANIZADA. BOLETIM SEDOP - MAIO/ 2022.</t>
  </si>
  <si>
    <t xml:space="preserve">SUPORTE FIXAÇÃO TIPO L </t>
  </si>
  <si>
    <t>OBSERVAÇÃO: REFERÊNCIA PARA ADOÇÃO DOS COEFICIENTES DE CONSUMO: 1201008416/AGESUL. PORTANTO, O INSUMO GRAMPO DE LINHA VIVA  EM QUESTÃO FOI UTILIZADO A MÃO DE OBRA DO CONECTOR PARA LINHA VIVA. BOLETIM AGESUL - JANEIRO/2022.</t>
  </si>
  <si>
    <t>COTELETRICA MATERIAIS ELETRICOS - 07.237.858/0001-13</t>
  </si>
  <si>
    <t>DIRCEU</t>
  </si>
  <si>
    <t>3027-9004</t>
  </si>
  <si>
    <t>CELSO</t>
  </si>
  <si>
    <t>ATIVA MATERIAIS ELÉTRICOS- 06.110.817/0004-41</t>
  </si>
  <si>
    <t>BRENDA</t>
  </si>
  <si>
    <t>CABO ALUMÍNIO ISOLADO XLPE 15KV  - 50 MM - REDE COMPACTA</t>
  </si>
  <si>
    <t>GEISIANE</t>
  </si>
  <si>
    <t>OBSERVAÇÃO: REFERÊNCIA PARA ADOÇÃO DOS COEFICIENTES DE CONSUMO:  102105/SINAPI. PORTANTO, O INSUMO TRANSFORMADOR TRIFÁSICO 112,5 KVA EM QUESTÃO FOI UTILIZADO A MÃO DE OBRA DO TRANSFORMADOR DE DISTRIBUIÇÃO 112,5KVA. BOLETIM SINAPI - JUNHO/2022.</t>
  </si>
  <si>
    <t>OBSERVAÇÃO: REFERÊNCIA PARA ADOÇÃO DOS COEFICIENTES DE CONSUMO: 08902/ORSE. PORTANTO, O INSUMO DISJUNTOR TERMOMAGNÉTICO TRIPOLAR 300 A EM QUESTÃO  FOI UTILIZADO A MÃO DE OBRA DO DISJUNTOR TERMOMAGNÉTICO TRIPOLAR 300 A. BOLETIM ORSE - MAIO/ 2022.</t>
  </si>
  <si>
    <t xml:space="preserve">SERVENTE COM ENCARGOS COMPLEMENTARES </t>
  </si>
  <si>
    <t>OBSERVAÇÃO: REFERÊNCIA PARA ADOÇÃO DOS COEFICIENTES DE CONSUMO: 10311/ORSE. PORTANTO, O INSUMO CAIXA DE MEDIÇÃO PARA 1 MEDIDOR  EM QUESTÃO  FOI UTILIZADO A MÃO DE OBRA DA CAIXA DE MEDIÇÃO DIRETA ATÉ 200A CONFECCIONADA EM CHAPA GALVANIZADA. BOLETIM ORSE - MAIO/ 2022.</t>
  </si>
  <si>
    <t>OBSERVAÇÃO: REFERÊNCIA PARA ADOÇÃO DOS COEFICIENTES DE CONSUMO: 9000/ORSE. PORTANTO, O INSUMO CAIXA DE PROTEÇÃO PARA TRANSFORMADOR DE CORRENTE  EM QUESTÃO  FOI UTILIZADO A MÃO DE OBRA DA CAIXA DE MEDIÇÃO INDIRETA DIM. 60 X 40 X 10 CM. BOLETIM ORSE - MAIO/ 2022.</t>
  </si>
  <si>
    <t>DEVIDO A DIFICULDADE DE ENCONTRAR PRODUTOS EM ESTOQUE FORAM UTILIZADAS APENAS DUAS COTAÇÕES</t>
  </si>
  <si>
    <t>CAIXA PARA DISJUNTOR SEM BARRAMENTO (PADRÃO CONCESSIONÁRIA LOCAL)</t>
  </si>
  <si>
    <t>OBSERVAÇÃO: REFERÊNCIA PARA ADOÇÃO DOS COEFICIENTES DE CONSUMO: 10311/ORSE. PORTANTO, O INSUMO CAIXA DE PROTEÇÃO EXTERNA PARA MEDIDOR HOROSAZONAL, DE BAIXA TENSÃO  EM QUESTÃO  FOI UTILIZADO A MÃO DE OBRA DA CAIXA DE MEDIÇÃO DIRETA ATÉ 200A CONFECCIONADA EM CHAPA GALVANIZADA. BOLETIM ORSE - MAIO/ 2022.</t>
  </si>
  <si>
    <t>OBSERVAÇÃO: REFERÊNCIA PARA ADOÇÃO DOS COEFICIENTES DE CONSUMO: 00486/ORSE. PORTANTO, O INSUMO CAIXA PARA DISJUNTOR SEM BARRAMENTO (PADRÃO CONCESSIONÁRIA LOCAL)  EM QUESTÃO  FOI UTILIZADO A MÃO DE OBRA DA CAIXA DE MEDIÇÃO INDIRETA PADRÃO ENERGISA (1,50 X 0,60 X 0,30 M). BOLETIM ORSE - MAIO/ 2022.</t>
  </si>
  <si>
    <t>COMPOSIÇÃO ANALÍTICA DA TAXA DE BONIFICAÇÃO E DESPESAS INDIRETAS (BDI) - NÃO DESONERADO</t>
  </si>
  <si>
    <t>GRUPO</t>
  </si>
  <si>
    <t>DESCRIÇÃO</t>
  </si>
  <si>
    <t>VALOR</t>
  </si>
  <si>
    <t>FONTE</t>
  </si>
  <si>
    <t>Acórdão 2622/2013 - TCU</t>
  </si>
  <si>
    <t xml:space="preserve">                          BDI =                                                                    - 1  </t>
  </si>
  <si>
    <t>*Valores médios BDI para Construção de Edifícios, conferme ACÓRDÃO N° 2622/2013 - TCU.</t>
  </si>
  <si>
    <t>BDI DIFERENCIADO (FORNECIMENTO DE MATERIAIS E EQUIPAMENTOS)</t>
  </si>
  <si>
    <t xml:space="preserve"> TAXA TOTAL DE BDI</t>
  </si>
  <si>
    <t>Não foi possivel obter cotação das empresas devido a falta de insumos nas distribuidoras locais.</t>
  </si>
  <si>
    <t>RUA DE ACESSO AO INPE (ATRÁS DA ASSOFT), BAIRRO CENTRO POLITICO ADMINISTRATIVO, CUIABÁ-MT</t>
  </si>
  <si>
    <t>CUIABÁ - MT</t>
  </si>
  <si>
    <t>Boletim SINAPI / JULHO 2022                                     (NÃO DESONERADO)</t>
  </si>
  <si>
    <t>TRANSFORMADOR DE DISTRIBUIÇÃO, 45 KVA, TRIFÁSICO, 60 HZ, CLASSE 15 KV,IMERSO EM ÓLEO MINERAL, INSTALAÇÃO EM POSTE (NÃO INCLUSO SUPORTE) - FORNECIMENTO E INSTALAÇÃO. AF_12/2020</t>
  </si>
  <si>
    <t>CABO DE COBRE FLEXÍVEL ISOLADO, 70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</si>
  <si>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</si>
  <si>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DISJUNTOR TERMOMAGNÉTICO TRIPOLAR , CORRENTE NOMINAL DE 125A - FORNECIMENTO E INSTALAÇÃO. AF_10/2020</t>
  </si>
  <si>
    <t xml:space="preserve">PERFIL U </t>
  </si>
  <si>
    <t>CHAPISCO APLICADO EM ALVENARIA (SEM PRESENÇA DE VÃOS) E ESTRUTURAS DE CONCRETO DE FACHADA, COM COLHER DE PEDREIRO. ARGAMASSA TRAÇO 1:3 COMPREPARO EM BETONEIRA 400L. AF_06/2014</t>
  </si>
  <si>
    <t>ALVENARIA DE VEDAÇÃO DE BLOCOS CERÂMICOS MACIÇOS DE 5X10X20CM (ESPESSURA 10CM) E ARGAMASSA DE ASSENTAMENTO COM PREPARO EM BETONEIRA. AF_05/2020</t>
  </si>
  <si>
    <t>EMBOÇO OU MASSA ÚNICA EM ARGAMASSA TRAÇO 1:2:8, PREPARO MECÂNICO COM BETONEIRA 400 L, APLICADA MANUALMENTE EM PANOS CEGOS DE FACHADA (SEM PRESENÇA DE VÃOS), ESPESSURA DE 25 MM. AF_06/2014</t>
  </si>
  <si>
    <t>APLICAÇÃO DE FUNDO SELADOR ACRÍLICO EM PAREDES, UMA DEMÃO. AF_06/2014</t>
  </si>
  <si>
    <t>APLICAÇÃO MANUAL DE PINTURA COM TINTA LÁTEX ACRÍLICA EM PAREDES, DUAS DEMÃOS. AF_06/2014</t>
  </si>
  <si>
    <t>4.46</t>
  </si>
  <si>
    <t>ESTRUTURA CE2</t>
  </si>
  <si>
    <t>FORNECIMENTO E INSTALAÇÃO POSTE DT 10/300</t>
  </si>
  <si>
    <t>ASSENTAMENTO DE POSTE DE CONCRETO COM COMPRIMENTO NOMINAL DE 10 M, CARGA NOMINAL MENOR OU IGUAL A 1000 DAN, ENGASTAMENTO SIMPLES COM 1,6 M DE SOLO (NÃO INCLUI FORNECIMENTO). AF_11/2019</t>
  </si>
  <si>
    <t>ESTRUTURA CEA1</t>
  </si>
  <si>
    <t>INSTALAÇÃO DERIVAÇÃO COM CHAVE FUSÍVEL E ESTRUTURA CE2-CE3-CFU</t>
  </si>
  <si>
    <t>ESTRUTURA CE2-CE3</t>
  </si>
  <si>
    <t>8.10</t>
  </si>
  <si>
    <t>8.11</t>
  </si>
  <si>
    <t>8.12</t>
  </si>
  <si>
    <t>8.13</t>
  </si>
  <si>
    <t>8.14</t>
  </si>
  <si>
    <t>8.15</t>
  </si>
  <si>
    <t>SECRETARIA DE ESTADO DO MEIO AMBIENTE</t>
  </si>
  <si>
    <t>EXECUÇÃO DE REDE DE DISTRIBUIÇÃO DE MÉDIA TENSÃO, POSTO DE TRANSFORMAÇÃO DE 225KVA E 45KVA- HOSPITAL VETERINÁRIO CENTRO DE REABILITAÇÃO DE ANIMAIS SILVESTRES - CRAS</t>
  </si>
  <si>
    <t xml:space="preserve">PROJETO ELÉTRICO DE REDE DE DISTRIBUIÇÃO DE MÉDIA TENSÃO, POSTO DE TRANSFORMAÇÃO DE 225KVA E 45KVA </t>
  </si>
  <si>
    <t>ESTRUTURA CE3-TR-CFU E POSTO DE TRANSFORMAÇÃO DE 45KVA E 225KVA</t>
  </si>
  <si>
    <t>CABO DE COBRE FLEXÍVEL ISOLADO, 185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</si>
  <si>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</si>
  <si>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DISJUNTOR TERMOMAGNÉTICO TRIPOLAR , CORRENTE NOMINAL DE 600A - FORNECIMENTO E INSTALAÇÃO. AF_10/2020</t>
  </si>
  <si>
    <t>TRANSFORMADOR DE DISTRIBUIÇÃO, 225 KVA, TRIFÁSICO, 60 HZ, CLASSE 15 KV, IMERSO EM ÓLEO MINERAL, INSTALAÇÃO EM POSTE (NÃO INCLUSO SUPORTE) -FORNECIMENTO E INSTALAÇÃO. AF_12/2020</t>
  </si>
  <si>
    <t>Cuiabá - MT</t>
  </si>
  <si>
    <t>OBS.: Coeficientes retirados de serviços análogos do Sinapi julho 2022 Não Desonerado</t>
  </si>
  <si>
    <t>COTAÇÕES</t>
  </si>
  <si>
    <t>CPU 79</t>
  </si>
  <si>
    <t>CPU 80</t>
  </si>
  <si>
    <t>CPU 81</t>
  </si>
  <si>
    <t>CPU 82</t>
  </si>
  <si>
    <t>CPU 83</t>
  </si>
  <si>
    <t>CPU 84</t>
  </si>
  <si>
    <t>CPU 85</t>
  </si>
  <si>
    <t>CPU 86</t>
  </si>
  <si>
    <t>CPU 87</t>
  </si>
  <si>
    <t>CPU 88</t>
  </si>
  <si>
    <t>CPU 89</t>
  </si>
  <si>
    <t>CPU 90</t>
  </si>
  <si>
    <t>CPU 91</t>
  </si>
  <si>
    <t>CPU 92</t>
  </si>
  <si>
    <t>CPU 93</t>
  </si>
  <si>
    <t>CPU 94</t>
  </si>
  <si>
    <t>CPU 95</t>
  </si>
  <si>
    <t>CPU 96</t>
  </si>
  <si>
    <t>CPU 97</t>
  </si>
  <si>
    <t>CPU 98</t>
  </si>
  <si>
    <t>CPU 99</t>
  </si>
  <si>
    <t>CPU 100</t>
  </si>
  <si>
    <t>CPU 101</t>
  </si>
  <si>
    <t>CPU 102</t>
  </si>
  <si>
    <t>CPU 103</t>
  </si>
  <si>
    <t>CPU 104</t>
  </si>
  <si>
    <t>CPU 105</t>
  </si>
  <si>
    <t>CPU 106</t>
  </si>
  <si>
    <t>CPU 107</t>
  </si>
  <si>
    <t>CPU 108</t>
  </si>
  <si>
    <t>CPU 109</t>
  </si>
  <si>
    <t>CPU 110</t>
  </si>
  <si>
    <t>CPU 111</t>
  </si>
  <si>
    <t>CPU 112</t>
  </si>
  <si>
    <t>CPU 113</t>
  </si>
  <si>
    <t>CPU 114</t>
  </si>
  <si>
    <t>CPU 115</t>
  </si>
  <si>
    <t>CPU 116</t>
  </si>
  <si>
    <t>CPU 117</t>
  </si>
  <si>
    <t>CPU 118</t>
  </si>
  <si>
    <t>CPU 119</t>
  </si>
  <si>
    <t>CPU 120</t>
  </si>
  <si>
    <t>CPU 121</t>
  </si>
  <si>
    <t>CPU 122</t>
  </si>
  <si>
    <t>CPU 123</t>
  </si>
  <si>
    <t>CPU 124</t>
  </si>
  <si>
    <t>CPU 125</t>
  </si>
  <si>
    <t>CPU 126</t>
  </si>
  <si>
    <t>CPU 127</t>
  </si>
  <si>
    <t>CPU 128</t>
  </si>
  <si>
    <t>CPU 129</t>
  </si>
  <si>
    <t>CPU 130</t>
  </si>
  <si>
    <t>CPU 131</t>
  </si>
  <si>
    <t>CPU 132</t>
  </si>
  <si>
    <t>CPU 133</t>
  </si>
  <si>
    <t>CPU 134</t>
  </si>
  <si>
    <t>CPU 135</t>
  </si>
  <si>
    <t>CPU 136</t>
  </si>
  <si>
    <t>CPU 137</t>
  </si>
  <si>
    <t>CPU 138</t>
  </si>
  <si>
    <t>CPU 139</t>
  </si>
  <si>
    <t>CPU 140</t>
  </si>
  <si>
    <t>CPU 141</t>
  </si>
  <si>
    <t>CPU 142</t>
  </si>
  <si>
    <t>CPU 143</t>
  </si>
  <si>
    <t>CPU 148</t>
  </si>
  <si>
    <t>CPU 144</t>
  </si>
  <si>
    <t>CPU 145</t>
  </si>
  <si>
    <t>CPU 146</t>
  </si>
  <si>
    <t>CPU 147</t>
  </si>
  <si>
    <t>CPU 149</t>
  </si>
  <si>
    <t>CPU 150</t>
  </si>
  <si>
    <t>CPU 151</t>
  </si>
  <si>
    <t>CPU 152</t>
  </si>
  <si>
    <t>CPU 153</t>
  </si>
  <si>
    <t>CPU 154</t>
  </si>
  <si>
    <t>CPU 155</t>
  </si>
  <si>
    <t>CPU 156</t>
  </si>
  <si>
    <t>CPU 157</t>
  </si>
  <si>
    <t>CPU 158</t>
  </si>
  <si>
    <t>CPU 159</t>
  </si>
  <si>
    <t>CPU 160</t>
  </si>
  <si>
    <t>CPU 161</t>
  </si>
  <si>
    <t>CPU 162</t>
  </si>
  <si>
    <t>CPU 163</t>
  </si>
  <si>
    <t>CPU 164</t>
  </si>
  <si>
    <t>CPU 165</t>
  </si>
  <si>
    <t>OLHAL PARA PARAFUSO</t>
  </si>
  <si>
    <t>4.47</t>
  </si>
  <si>
    <t>4.48</t>
  </si>
  <si>
    <t>4.49</t>
  </si>
  <si>
    <t>4.50</t>
  </si>
  <si>
    <t>4.51</t>
  </si>
  <si>
    <t>8.16</t>
  </si>
  <si>
    <t>ESTRUTURA CE3-CE3</t>
  </si>
  <si>
    <t>9.10</t>
  </si>
  <si>
    <t>9.11</t>
  </si>
  <si>
    <t>9.12</t>
  </si>
  <si>
    <t>9.13</t>
  </si>
  <si>
    <t>9.14</t>
  </si>
  <si>
    <t>9.15</t>
  </si>
  <si>
    <t>4.52</t>
  </si>
  <si>
    <t>4.53</t>
  </si>
  <si>
    <t>10.11</t>
  </si>
  <si>
    <t>10.12</t>
  </si>
  <si>
    <t>10.15</t>
  </si>
  <si>
    <t>10.16</t>
  </si>
  <si>
    <t>10.18</t>
  </si>
  <si>
    <t>10.19</t>
  </si>
  <si>
    <t>10.20</t>
  </si>
  <si>
    <t>10.21</t>
  </si>
  <si>
    <t>10.23</t>
  </si>
  <si>
    <t>10.25</t>
  </si>
  <si>
    <t>10.26</t>
  </si>
  <si>
    <t>10.27</t>
  </si>
  <si>
    <t>10.28</t>
  </si>
  <si>
    <t>7.22</t>
  </si>
  <si>
    <t>MEDIÇÃO EM MÉDIA TENSÃO</t>
  </si>
  <si>
    <t>CPU 166</t>
  </si>
  <si>
    <t>OBSERVAÇÃO: REFERÊNCIA PARA ADOÇÃO DOS COEFICIENTES DE CONSUMO:  39996/SINAPI. PORTANTO, O INSUMO 'VERGALHAO ZINCADO ROSCA TOTAL, 1/4 " (6,3 MM) EM QUESTÃO FOI UTILIZADO A MÃO DE OBRA DO Fornecimento e instalação de vergalhão (tirante c/ rosca d=3/8"x1000mm (marvitec ref. 1431 ou similar). BOLETIM ORSE - 424 -  06/2022.</t>
  </si>
  <si>
    <t>VERGALHAO ZINCADO ROSCA TOTAL, 1/4 " (6,3 MM) - FORNECIMENTO E INSTALAÇÃO</t>
  </si>
  <si>
    <t>CORDOALHA DE COBRE NU 50 MM², ENTERRADA, SEM ISOLADOR - FORNECIMENTO E INSTALAÇÃO. AF_12/2017</t>
  </si>
  <si>
    <t>CPU 167</t>
  </si>
  <si>
    <t>TERMINAL A COMPRESSAO EM COBRE ESTANHADO PARA CABO 50 MM2, 1 FURO E 1 COMPRESSAO, PARA PARAFUSO DE FIXACAO M8</t>
  </si>
  <si>
    <t>OBSERVAÇÃO: REFERÊNCIA PARA ADOÇÃO DOS COEFICIENTES DE CONSUMO:  1578/SINAPI. PORTANTO, O INSUMO TERMINAL A COMPRESSAO EM COBRE ESTANHADO PARA CABO 50 MM2, 1 FURO E 1 COMPRESSAO, PARA PARAFUSO DE FIXACAO M8 EM QUESTÃO FOI UTILIZADO A MÃO DE OBRA DO Terminal de compressão em latão 50mm². BOLETIM SEDOP - 171075 -  05/2022.</t>
  </si>
  <si>
    <t>CPU 168</t>
  </si>
  <si>
    <t>ISOLADOR DE PORCELANA, TIPO BUCHA, PARA TENSAO DE *15* KV - FORNECIMENTO E INSTALAÇÃO</t>
  </si>
  <si>
    <t>CPU 169</t>
  </si>
  <si>
    <t>ISOLADOR DE PORCELANA, TIPO PINO MONOCORPO, PARA TENSAO DE *15* KV - FORNECIMENTO E INSTALAÇÃO</t>
  </si>
  <si>
    <t>OBSERVAÇÃO: REFERÊNCIA PARA ADOÇÃO DOS COEFICIENTES DE CONSUMO:  00003406/SINAPI. PORTANTO, O INSUMO ISOLADOR DE PORCELANA, TIPO PINO MONOCORPO, PARA TENSAO DE *15* KV EM QUESTÃO FOI UTILIZADO A MÃO DE OBRA DO ISOLADOR SUPORTE TIPO PEDESTAL EM PORCELANA - 15KV. BOLETIM SIURB - 091406 -  01/2022.</t>
  </si>
  <si>
    <t>CPU 170</t>
  </si>
  <si>
    <t>OBSERVAÇÃO: REFERÊNCIA PARA ADOÇÃO DOS COEFICIENTES DE CONSUMO:  11963/SINAPI. PORTANTO, O INSUMO PARAFUSO DE ACO TIPO CHUMBADOR PARABOLT, DIAMETRO 1/2", COMPRIMENTO 75 MM EM QUESTÃO FOI UTILIZADO A MÃO DE OBRA DO FORNECIMENTO E COLOCACAO DE CHUMBADORES EXPANSIVEIS D=1/2". BOLETIM FDE - 16.45.002 -  04/2022.</t>
  </si>
  <si>
    <t>PARAFUSO DE ACO TIPO CHUMBADOR PARABOLT, DIAMETRO 1/2", COMPRIMENTO 75 MM - FORNECIMENTO E INSTALAÇÃO</t>
  </si>
  <si>
    <t>CAIXA DE INSPEÇÃO PARA ATERRAMENTO, CIRCULAR, EM POLIETILENO, DIÂMETRO INTERNO = 0,3 M. AF_12/2020</t>
  </si>
  <si>
    <t>CPU 171</t>
  </si>
  <si>
    <t>JANELA BASCULANTE, EM ALUMINIO PERFIL 20, 80 X 60 CM (A X L), 4 FLS (1 FIXA E 3 MOVEIS), ACABAMENTO BRANCO OU BRILHANTE, BATENTE DE 3 A 4 CM, COM VIDRO, SEM GUARNICAO - FORNECIMENTO E INSTALAÇÃO</t>
  </si>
  <si>
    <t>PEDREIRO COM ENCARGOS COMPLEMENTARES</t>
  </si>
  <si>
    <t>OBSERVAÇÃO: REFERÊNCIA PARA ADOÇÃO DOS COEFICIENTES DE CONSUMO:  34377/SINAPI. PORTANTO, O INSUMO JANELA BASCULANTE, EM ALUMINIO PERFIL 20, 80 X 60 CM (A X L), 4 FLS (1 FIXA E 3 MOVEIS), ACABAMENTO BRANCO OU BRILHANTE, BATENTE DE 3 A 4 CM, COM VIDRO, SEM GUARNICAO EM QUESTÃO FOI UTILIZADO A MÃO DE OBRA DO Janela basculante, moldura em barra chata de ferro 1x1/4, e cantoneira 1x1x1/4 - exclusive vidro. BOLETIM ORSE - 12085 -  04/2022.</t>
  </si>
  <si>
    <t>EXTINTOR DE INCÊNDIO PORTÁTIL COM CARGA DE PQS DE 12 KG, CLASSE BC - FORNECIMENTO E INSTALAÇÃO. AF_10/2020_P</t>
  </si>
  <si>
    <t>CPU 172</t>
  </si>
  <si>
    <t>PORTA DE ABRIR EM ACO COM DIVISAO HORIZONTAL PARA VIDROS, COM FUNDO ANTICORROSIVO/PRIMER DE PROTECAO, SEM GUARNICAO/ALIZAR/VISTA, VIDROS NÃO INCLUSOS, 90 X 210 CM - FORNECIMENTO E INSTALAÇÃO</t>
  </si>
  <si>
    <t>OBSERVAÇÃO: REFERÊNCIA PARA ADOÇÃO DOS COEFICIENTES DE CONSUMO:  00039021/SINAPI. PORTANTO, O INSUMO PORTA DE ABRIR EM ACO COM DIVISAO HORIZONTAL PARA VIDROS, COM FUNDO ANTICORROSIVO/PRIMER DE PROTECAO, SEM GUARNICAO/ALIZAR/VISTA, VIDROS NÃO INCLUSOS, 90 X 210 CM  EM QUESTÃO FOI UTILIZADO A MÃO DE OBRA DO PORTA DE ABRIR EM ACO LAMINADO A FRIO COM ADICAO DE COBRE,TI PO VENEZIANA,PINTADA COM TINTA PRIMER,COM LARGURA E ALTURA A PROXIMADAS DE 0,80X2,10M,INCLUSIVE FECHADURA DE CILINDRO E D OBRADICAS.FORNECIMENTO E COLOCACAO. BOLETIM EMOP - 14.002.0402-A -  04/2022.</t>
  </si>
  <si>
    <t>CPU 173</t>
  </si>
  <si>
    <t>Und</t>
  </si>
  <si>
    <t>CURVA 90 GRAUS, PARA ELETRODUTO, EM ACO GALVANIZADO ELETROLITICO, DIAMETRO DE 40 MM (1 1/2") - FORNECIMENTO E INSTALAÇÃO</t>
  </si>
  <si>
    <t>OBSERVAÇÃO: REFERÊNCIA PARA ADOÇÃO DOS COEFICIENTES DE CONSUMO: 2632/SINAPI. PORTANTO, O INSUMO CURVA 90 GRAUS, PARA ELETRODUTO, EM ACO GALVANIZADO ELETROLITICO, DIAMETRO DE 40 MM (1 1/2")  EM QUESTÃO FOI UTILIZADO A MÃO DE OBRA DO CURVA 90 GRAUS AÇO ZINCADO DIÂMETRO 1.1/2". BOLETIM AGETOP CIVIL - 071124 -  04/2022.</t>
  </si>
  <si>
    <t>CPU 174</t>
  </si>
  <si>
    <t>OBSERVAÇÃO: REFERÊNCIA PARA ADOÇÃO DOS COEFICIENTES DE CONSUMO: 4948/SINAPI. PORTANTO, O INSUMO PORTAO DE ABRIR / GIRO, EM GRADIL DE METALON REDONDO DE 3/4" VERTICAL, COM REQUADRO, ACABAMENTO NATURAL - COMPLETO  EM QUESTÃO FOI UTILIZADO A MÃO DE OBRA DO PT-48 PORTÃO BASCULANTE-GRADIL ELETROFUND 525X230CM (USO INT). BOLETIM fde - 06.02.074 -  04/2022.</t>
  </si>
  <si>
    <t>PORTAO DE ABRIR / GIRO, EM GRADIL DE METALON REDONDO DE 3/4" VERTICAL, COM REQUADRO, ACABAMENTO NATURAL - COMPLETO - FORNECIMENTO E INSTALAÇÃO</t>
  </si>
  <si>
    <t>QUADRO DE MEDIÇÃO GERAL DE ENERGIA PARA 1 MEDIDOR DE SOBREPOR - FORNECIMENTO E INSTALAÇÃO. AF_10/2020</t>
  </si>
  <si>
    <t>CPU 175</t>
  </si>
  <si>
    <t>CHAPA DE ACO GALVANIZADA BITOLA GSG 18, E = 1,25 MM (10,00 KG/M2) - FORNECIMENTO E INSTALAÇÃO (1.60mX0.60m)</t>
  </si>
  <si>
    <t>ELETRODUTO RÍGIDO SOLDÁVEL, PVC, DN 32 MM (1"), APARENTE, INSTALADO EM TETO - FORNECIMENTO E INSTALAÇÃO. AF_11/2016</t>
  </si>
  <si>
    <t>PISO CIMENTADO, TRAÇO 1:3 (CIMENTO E AREIA), ACABAMENTO LISO, ESPESSURA 4,0 CM, PREPARO MECÂNICO DA ARGAMASSA. AF_09/2020</t>
  </si>
  <si>
    <t>COMPACTAÇÃO MECÂNICA DE SOLO PARA EXECUÇÃO DE RADIER, PISO DE CONCRETO OU LAJE SOBRE SOLO, COM COMPACTADOR DE SOLOS A PERCUSSÃO. AF_09/2021</t>
  </si>
  <si>
    <t>FABRICAÇÃO DE FÔRMA PARA LAJES, EM CHAPA DE MADEIRA COMPENSADA PLASTIFICADA, E = 18 MM. AF_09/2020</t>
  </si>
  <si>
    <t>ARMAÇÃO DE LAJE DE ESTRUTURA CONVENCIONAL DE CONCRETO ARMADO UTILIZANDO AÇO CA-50 DE 6,3 MM - MONTAGEM. AF_06/2022</t>
  </si>
  <si>
    <t>OBSERVAÇÃO: REFERÊNCIA PARA ADOÇÃO DOS COEFICIENTES DE CONSUMO: 11046/SINAPI. PORTANTO, O INSUMO CHAPA DE ACO GALVANIZADA BITOLA GSG 18, E = 1,25 MM (10,00 KG/M2) EM QUESTÃO FOI UTILIZADO A MÃO DE OBRA DO Fechamento em chapa de aço galvanizada nº 14 MSG, perfurada com diâmetro de 12,7 mm, requadro em chapa dobrada. BOLETIM CPOS - 24.03.290 -  02/2022.</t>
  </si>
  <si>
    <t>ARMAÇÃO DE PILAR OU VIGA DE ESTRUTURA CONVENCIONAL DE CONCRETO ARMADO UTILIZANDO AÇO CA-50 DE 8,0 MM - MONTAGEM. AF_06/2022</t>
  </si>
  <si>
    <t>FABRICAÇÃO DE FÔRMA PARA PILARES E ESTRUTURAS SIMILARES, EM MADEIRA SERRADA, E=25 MM. AF_09/2020</t>
  </si>
  <si>
    <t>ESCAVAÇÃO MANUAL DE VIGA DE BORDA PARA RADIER. AF_09/2021</t>
  </si>
  <si>
    <t>10.13</t>
  </si>
  <si>
    <t>10.14</t>
  </si>
  <si>
    <t>10.17</t>
  </si>
  <si>
    <t>10.22</t>
  </si>
  <si>
    <t>10.24</t>
  </si>
  <si>
    <t>10.29</t>
  </si>
  <si>
    <t>10.30</t>
  </si>
  <si>
    <t>ALVENARIA DE VEDAÇÃO DE BLOCOS CERÂMICOS FURADOS NA HORIZONTAL DE 9X19X19 CM (ESPESSURA 9 CM) E ARGAMASSA DE ASSENTAMENTO COM PREPARO MANUAL. AF_12/2021</t>
  </si>
  <si>
    <t xml:space="preserve">	CHAPISCO APLICADO EM ALVENARIA (COM PRESENÇA DE VÃOS) E ESTRUTURAS DE CONCRETO DE FACHADA, COM COLHER DE PEDREIRO. ARGAMASSA TRAÇO 1:3 COM PREPARO MANUAL. AF_06/2014</t>
  </si>
  <si>
    <t>APLICAÇÃO MANUAL DE PINTURA COM TINTA LÁTEX ACRÍLICA EM TETO, DUAS DEMÃOS. AF_06/2014</t>
  </si>
  <si>
    <t>EMBOÇO OU MASSA ÚNICA EM ARGAMASSA TRAÇO 1:2:8, PREPARO MECÂNICO COM BETONEIRA 400 L, APLICADA MANUALMENTE EM PANOS DE FACHADA COM PRESENÇA DE VÃOS, ESPESSURA DE 35 MM. AF_06/2014</t>
  </si>
  <si>
    <t>ARMAÇÃO PARA EXECUÇÃO DE RADIER, PISO DE CONCRETO OU LAJE SOBRE SOLO, COM USO DE TELA Q-138. AF_09/2021</t>
  </si>
  <si>
    <t>CONCRETAGEM DE RADIER, PISO DE CONCRETO OU LAJE SOBRE SOLO, FCK 30 MPA - LANÇAMENTO, ADENSAMENTO E ACABAMENTO. AF_09/2021</t>
  </si>
  <si>
    <t xml:space="preserve">	CONCRETAGEM DE PILARES, FCK = 25 MPA, COM USO DE BALDES - LANÇAMENTO, ADENSAMENTO E ACABAMENTO. AF_02/2022</t>
  </si>
  <si>
    <t>CONCRETAGEM DE VIGAS E LAJES, FCK=25 MPA, PARA QUALQUER TIPO DE LAJE COM BALDES EM EDIFICAÇÃO TÉRREA - LANÇAMENTO, ADENSAMENTO E ACABAMENTO. AF_02/2022</t>
  </si>
  <si>
    <t xml:space="preserve">	LANÇAMENTO COM USO DE BALDES, ADENSAMENTO E ACABAMENTO DE CONCRETO EM ESTRUTURAS. AF_02/2022</t>
  </si>
  <si>
    <r>
      <t xml:space="preserve">ENGENHEIRO ELETRICISTA COM ENCARGOS COMPLEMENTARES </t>
    </r>
    <r>
      <rPr>
        <b/>
        <sz val="11"/>
        <rFont val="Times New Roman"/>
        <family val="1"/>
      </rPr>
      <t>(16 H/SEMANA DURANTE OS 03 MESES)</t>
    </r>
  </si>
  <si>
    <t>10.31</t>
  </si>
  <si>
    <t>10.32</t>
  </si>
  <si>
    <t>10.33</t>
  </si>
  <si>
    <t>10.34</t>
  </si>
  <si>
    <t>10.35</t>
  </si>
  <si>
    <t>10.36</t>
  </si>
  <si>
    <t>10.37</t>
  </si>
  <si>
    <t>10.38</t>
  </si>
  <si>
    <t>10.39</t>
  </si>
  <si>
    <t>10.40</t>
  </si>
  <si>
    <t>HASTE DE ATERRAMENTO 5/8 PARA SPDA - FORNECIMENTO E INSTALAÇÃO. AF_12/2017</t>
  </si>
  <si>
    <t>10.41</t>
  </si>
  <si>
    <t>10.42</t>
  </si>
  <si>
    <t>GRAMPO METALICO TIPO OLHAL PARA HASTE DE ATERRAMENTO DE 5/8'', CONDUTOR DE *10* A 50 MM2</t>
  </si>
  <si>
    <t>ISOLADOR DE PORCELANA, TIPO PINO MONOCORPO, PARA TENSAO DE *15* KV</t>
  </si>
  <si>
    <t>CURVA 90 GRAUS, PARA ELETRODUTO, EM ACO GALVANIZADO ELETROLITICO, DIAMETRO DE 80 MM (3")</t>
  </si>
  <si>
    <t>POSTE DE CONCRETO ARMADO DE SECAO DUPLO T, EXTENSAO DE 11,00 M, RESISTENCIA DE 600 DAN, TIPO B</t>
  </si>
  <si>
    <t>PINO ROSCA EXTERNA, EM ACO GALVANIZADO, PARA ISOLADOR DE 15KV, DIAMETRO 25 MM, COMPRIMENTO *290* MM</t>
  </si>
  <si>
    <t>CINTA CIRCULAR EM ACO GALVANIZADO DE 150 MM DE DIAMETRO PARA FIXACAO DE CAIXA MEDICAO, INCLUI PARAFUSOS E PORCAS</t>
  </si>
  <si>
    <t>LUVA PARA ELETRODUTO, EM ACO GALVANIZADO ELETROLITICO, DIAMETRO DE 80 MM (3")</t>
  </si>
  <si>
    <t>TERMINAL A COMPRESSAO EM COBRE ESTANHADO PARA CABO 95 MM2, 1 FURO E 1 COMPRESSAO, PARA PARAFUSO DE FIXACAO M12</t>
  </si>
  <si>
    <t>SUPORTE EM ACO GALVANIZADO PARA TRANSFORMADOR PARA POSTE DUPLO T 185 X 95 MM, CHAPA DE 5/16"</t>
  </si>
  <si>
    <t>TERMINAL METALICO A PRESSAO PARA 1 CABO DE 185 MM2, COM 1 FURO DE FIXACAO</t>
  </si>
  <si>
    <t>POSTE DE CONCRETO ARMADO DE SECAO DUPLO T, EXTENSAO DE 12,00 M, RESISTENCIA DE 1000 DAN, TIPO B-1,5</t>
  </si>
  <si>
    <t>DISJUNTOR TERMICO E MAGNETICO AJUSTAVEIS, TRIPOLAR DE 300 ATE 400A, CAPACIDADE DE INTERRUPCAO DE 35KA</t>
  </si>
  <si>
    <t>CAIXA INTERNA/EXTERNA DE MEDICAO PARA 1 MEDIDOR TRIFASICO, COM VISOR, EM CHAPA ACO 18 USG (PADRAO DA CONCESSIONARIA LOCAL)</t>
  </si>
  <si>
    <t>CAIXA DE PROTECAO EXTERNA PARA MEDIDOR HOROSAZONAL, DE BAIXA TENSAO, COM MODULO, EM CHAPA DE ACO (PADRAO DA CONCESSIONARIA LOCAL)</t>
  </si>
  <si>
    <t>CAIXA DE PROTECAO PARA TRANSFORMADOR CORRENTE, EM CHAPA DE ACO 18 USG (PADRAO DA CONCESSIONARIA LOCAL)</t>
  </si>
  <si>
    <t>POSTE DE CONCRETO ARMADO DE SECAO DUPLO T, EXTENSAO DE 10,00 M, RESISTENCIA DE 300 A 400 DAN, TIPO B OU D</t>
  </si>
  <si>
    <t>4.54</t>
  </si>
  <si>
    <t>ELETRODUTO DE AÇO GALVANIZADO - FOGO - 80 MM² (3")</t>
  </si>
  <si>
    <t xml:space="preserve">MEDIANA </t>
  </si>
  <si>
    <t>ELÉTRICA PARANA - 08.139.615/0001-05</t>
  </si>
  <si>
    <t>FAGNER</t>
  </si>
  <si>
    <t>ROMAGNOLE - 46.547.755/0001-01</t>
  </si>
  <si>
    <t>65 3622 1480</t>
  </si>
  <si>
    <t>GUILHERME</t>
  </si>
  <si>
    <t>ELÉTRICA PARANA - 08.139.165/0001-05</t>
  </si>
  <si>
    <t>65 3622-1480</t>
  </si>
  <si>
    <t>ROMAGNOLE - 78.958.717-0001-38</t>
  </si>
  <si>
    <t>CPU 176</t>
  </si>
  <si>
    <t>FORNECIMENTO E INSTALAÇÃO POSTE CIRCULAR 10/600</t>
  </si>
  <si>
    <t>POSTE DE CONCRETO CIRCULAR 10/600</t>
  </si>
  <si>
    <t>ASSENTAMENTO DE POSTE DE CONCRETO COM COMPRIMENTO NOMINAL DE 10 M, CARGA NOMINAL DE 600 DAN, ENGASTAMENTO BASE CONCRETADA COM 1 M DE CONCRETO E 0,6 M DE SOLO (NÃO INCLUI FORNECIMENTO). AF_11/2019</t>
  </si>
  <si>
    <t>65 3052 4200</t>
  </si>
  <si>
    <t>LUIZ</t>
  </si>
  <si>
    <t>9.16</t>
  </si>
  <si>
    <t>OBSERVAÇÃO: REFERÊNCIA PARA ADOÇÃO DOS COEFICIENTES DE CONSUMO: 100605/SINAPI. PORTANTO, O INSUMO POSTE CIRCULAR 10/600 EM QUESTÃO  FOI UTILIZADO A MÃO DE OBRA DA ASSENTAMENTO DE POSTE COM COMPRIMENTO NOMINAL DE 10M. BOLETIM SINAPI - JULHO/ 2022.</t>
  </si>
  <si>
    <t>OBSERVAÇÃO: REFERÊNCIA PARA ADOÇÃO DOS COEFICIENTES DE CONSUMO: 08021/ORSE. PORTANTO, O INSUMO CABEÇOTE PARA ENTRADA DE LINHA 3'' EM QUESTÃO  FOI UTILIZADO A MÃO DE OBRA DO CABECOTE DE LIGA DE ALUMINIO DIAM 3''. BOLETIM AGETOP CIVIL - JULHO/ 2022.</t>
  </si>
  <si>
    <t>OBSERVAÇÃO: REFERÊNCIA PARA ADOÇÃO DOS COEFICIENTES DE CONSUMO: 11276/ORSE. PORTANTO, O INSUMO ARRUELA EM ALUMINIO 3'' EM QUESTÃO  FOI UTILIZADO A MÃO DE OBRA DA BUCHA COM ARRUELA EM LIGA ESPECIAL P/ ELETRODUTO D=3''. BOLETIM ORSE - JULHO/ 2022.</t>
  </si>
  <si>
    <t>OBSERVAÇÃO: REFERÊNCIA PARA ADOÇÃO DOS COEFICIENTES DE CONSUMO:  9037/ORSE. PORTANTO, O INSUMO ELETRODUTO DE AÇO 80MM² EM QUESTÃO FOI UTILIZADO A MÃO DE OBRA DA ELETRODUTO EM FERRO GALVANIZADO 80MM (3"). BOLETIM ORSE - 9037/JULHO - 2022.</t>
  </si>
  <si>
    <t>OBSERVAÇÃO: REFERÊNCIA PARA ADOÇÃO DOS COEFICIENTES DE CONSUMO: 100612/SINAPI. PORTANTO, O INSUMO POSTE DUPLO T 11/600 EM QUESTÃO  FOI UTILIZADO A MÃO DE OBRA DA ASSENTAMENTO DE POSTE COM COMPRIMENTO NOMINAL DE 11M. BOLETIM SINAPI - JULHO/ 2022.</t>
  </si>
  <si>
    <t>OBSERVAÇÃO: REFERÊNCIA PARA ADOÇÃO DOS COEFICIENTES DE CONSUMO:  102104/SINAPI. PORTANTO, O INSUMO TRANSFORMADOR TRIFÁSICO 75 KVA EM QUESTÃO FOI UTILIZADO A MÃO DE OBRA DO TRANSFORMADOR DE DISTRIBUIÇÃO 75KVA. BOLETIM SINAPI - JULHO/2022.</t>
  </si>
  <si>
    <t>OBSERVAÇÃO: REFERÊNCIA PARA ADOÇÃO DOS COEFICIENTES DE CONSUMO: 9009/ORSE. PORTANTO, O INSUMO CABO DE COBRE XLPE 0,6/1KV EM QUESTÃO  FOI UTILIZADO A MÃO DE OBRA DO CABO DE COBRE XLPE 95MM² 1KV. BOLETIM ORSE - JULHO/ 2022.</t>
  </si>
  <si>
    <t>OBSERVAÇÃO: REFERÊNCIA PARA ADOÇÃO DOS COEFICIENTES DE CONSUMO:  10806/ORSE. PORTANTO, O INSUMO LUVA PARA ELETRODUTO 60 mm² EM QUESTÃO FOI UTILIZADO A MÃO DE OBRA DA LUVA PARA ELETRODUTO GALVANIZADO DN 3''(80mm²) . BOLETIM ORSE - JULHO/2022.</t>
  </si>
  <si>
    <t>OBSERVAÇÃO: REFERÊNCIA PARA ADOÇÃO DOS COEFICIENTES DE CONSUMO:  12457/ORSE. PORTANTO, O INSUMO TERMINAL COMPRESSÃO OLHAL 95MM EM QUESTÃO FOI UTILIZADO A MÃO DE OBRA DO TERMINAL DE COMPRESSÃO 2 FUROS CABO 95MM². BOLETIM ORSE - JULHO/2022.</t>
  </si>
  <si>
    <t>OBSERVAÇÃO: REFERÊNCIA PARA ADOÇÃO DOS COEFICIENTES DE CONSUMO: 100612/SINAPI. PORTANTO, O INSUMO POSTE CIRCULAR 11/600 EM QUESTÃO  FOI UTILIZADO A MÃO DE OBRA DA ASSENTAMENTO DE POSTE COM COMPRIMENTO NOMINAL DE 11M. BOLETIM SINAPI - JULHO/ 2022.</t>
  </si>
  <si>
    <t>OBSERVAÇÃO: REFERÊNCIA PARA ADOÇÃO DOS COEFICIENTES DE CONSUMO:  12457/ORSE. PORTANTO, O INSUMO TERMINAL COMPRESSÃO OLHAL 50MM EM QUESTÃO FOI UTILIZADO A MÃO DE OBRA DO TERMINAL DE COMPRESSÃO 2 FUROS CABO 95MM². BOLETIM ORSE - JULHO/2022.</t>
  </si>
  <si>
    <t>OBSERVAÇÃO: REFERÊNCIA PARA ADOÇÃO DOS COEFICIENTES DE CONSUMO: 9010/ORSE. PORTANTO, O INSUMO CABO DE COBRE XLPE 0,6/1KV EM QUESTÃO  FOI UTILIZADO A MÃO DE OBRA DO CABO DE COBRE XLPE 185MM² 1KV. BOLETIM ORSE - JULHO/ 2022.</t>
  </si>
  <si>
    <t>OBSERVAÇÃO: REFERÊNCIA PARA ADOÇÃO DOS COEFICIENTES DE CONSUMO:  102107/SINAPI. PORTANTO, O INSUMO TRANSFORMADOR TRIFÁSICO 225 KVA EM QUESTÃO FOI UTILIZADO A MÃO DE OBRA DO TRANSFORMADOR DE DISTRIBUIÇÃO 225 KVA. BOLETIM SINAPI - JULHO/2022.</t>
  </si>
  <si>
    <t>OBSERVAÇÃO: REFERÊNCIA PARA ADOÇÃO DOS COEFICIENTES DE CONSUMO:  12456/ORSE. PORTANTO, O INSUMO TERMINAL COMPRESSÃO OLHAL 185MM EM QUESTÃO FOI UTILIZADO A MÃO DE OBRA DO TERMINAL DE COMPRESSÃO 2 FUROS CABO 185MM². BOLETIM ORSE - JULHO/2022.</t>
  </si>
  <si>
    <t>OBSERVAÇÃO: REFERÊNCIA PARA ADOÇÃO DOS COEFICIENTES DE CONSUMO: 100613/SINAPI. PORTANTO, O INSUMO POSTE DUPLO T 11/1000 EM QUESTÃO  FOI UTILIZADO A MÃO DE OBRA DA ASSENTAMENTO DE POSTE COM COMPRIMENTO NOMINAL DE 11M. BOLETIM SINAPI - JULHO/ 2022.</t>
  </si>
  <si>
    <t>OBSERVAÇÃO: REFERÊNCIA PARA ADOÇÃO DOS COEFICIENTES DE CONSUMO: 100613/SINAPI. PORTANTO, O INSUMO POSTE CIRCULAR 11/1000 EM QUESTÃO  FOI UTILIZADO A MÃO DE OBRA DA ASSENTAMENTO DE POSTE COM COMPRIMENTO NOMINAL DE 11M. BOLETIM SINAPI - JULHO/ 2022.</t>
  </si>
  <si>
    <t>OBSERVAÇÃO: REFERÊNCIA PARA ADOÇÃO DOS COEFICIENTES DE CONSUMO:  11435/ORSE. PORTANTO, O INSUMO ELETRODUTO DE AÇO 100MM² EM QUESTÃO FOI UTILIZADO A MÃO DE OBRA DA ELETRODUTO EM FERRO GALVANIZADO ELETROLÍTICO 100MM (4"). BOLETIM ORSE - 11435/JULHO - 2022.</t>
  </si>
  <si>
    <t>OBSERVAÇÃO: REFERÊNCIA PARA ADOÇÃO DOS COEFICIENTES DE CONSUMO: 03998/ORSE. PORTANTO, O INSUMO CABEÇOTE PARA ENTRADA DE LINHA 4'' EM QUESTÃO  FOI UTILIZADO A MÃO DE OBRA DO CABECOTE DE LIGA DE ALUMINIO DIAM 4''. BOLETIM ORSE - JULHO/ 2022.</t>
  </si>
  <si>
    <t>OBSERVAÇÃO: REFERÊNCIA PARA ADOÇÃO DOS COEFICIENTES DE CONSUMO: 070386/AGETOP CIVIL. PORTANTO, O INSUMO BRAÇO TIPO C EM QUESTÃO  FOI UTILIZADO A MÃO DE OBRA DO BRAÇO C AÇO GALVANIZADO. BOLETIM AGETOP CIVIL - JULHO/ 2022.</t>
  </si>
  <si>
    <t>OBSERVAÇÃO: REFERÊNCIA PARA ADOÇÃO DOS COEFICIENTES DE CONSUMO: 00717/ORSE. PORTANTO, O INSUMO MÃO FRANCESA PERFILADA EM QUESTÃO  FOI UTILIZADO A MÃO DE OBRA DO INSUMO MÃO FRANCESA SIMPLES. BOLETIM ORSE - JULHO/ 2022.</t>
  </si>
  <si>
    <t>OBSERVAÇÃO: REFERÊNCIA PARA ADOÇÃO DOS COEFICIENTES DE CONSUMO: 072372/AGETOP CIVIL. PORTANTO, O INSUMO SUPORTE FIXAÇÃO TIPO L  EM QUESTÃO  FOI UTILIZADO A MÃO DE OBRA DO INSUMO SUPORTE DE AÇO GALVANIZADO PARA FIXAÇÃO DO PARA-RAIO. BOLETIM AGETOP CIVIL - JULHO/ 2022.</t>
  </si>
  <si>
    <t>OBSERVAÇÃO: REFERÊNCIA PARA ADOÇÃO DOS COEFICIENTES DE CONSUMO: 070771/AGETOP CVIL. PORTANTO, O INSUMO BRAÇO AFASTADOR HORIZONTAL EM QUESTÃO  FOI UTILIZADO A MÃO DE OBRA DO INSUMO CANTONEIRA AUXILIAR PARA BRAÇO TIPO C. BOLETIM AGETOP CIVIL - JULHO/ 2022.</t>
  </si>
  <si>
    <t>OBSERVAÇÃO: REFERÊNCIA PARA ADOÇÃO DOS COEFICIENTES DE CONSUMO: 070771/AGETOP CIVIL. PORTANTO, O INSUMO CANTONEIRA AUXILIAR PARA BRAÇO TIPO C EM QUESTÃO  FOI UTILIZADO A MÃO DE OBRA DO INSUMO CANTONEIRA AUXILIAR PARA BRAÇO TIPO C. BOLETIM AGETOP CIVIL - JULHO/ 2022.</t>
  </si>
  <si>
    <t>TRANSFORMADOR DE DISTRIBUIÇÃO, 45 KVA, TRIFÁSICO, 60 HZ, CLASSE 15 KV, IMERSO EM ÓLEO MINERAL, INSTALAÇÃO EM POSTE (NÃO INCLUSO SUPORTE) - FORNECIMENTO E INSTALAÇÃO. AF_12/2020</t>
  </si>
  <si>
    <t>OBSERVAÇÃO: REFERÊNCIA PARA ADOÇÃO DOS COEFICIENTES DE CONSUMO: 160308/IOPES. PORTANTO, O INSUMO CABO COBRE NU 50MM2 EM QUESTÃO  FOI UTILIZADO A MÃO DE OBRA DO Cabo condutor de cobre eletrolítico nu, tempera meio dura, encordoamento classe 2, para aterramento, diam. 50mm2. BOLETIM IOPES - MAIO/ 2022.</t>
  </si>
  <si>
    <t>OBSERVAÇÃO: REFERÊNCIA PARA ADOÇÃO DOS COEFICIENTES DE CONSUMO:  3394/SINAPI. PORTANTO, O INSUMO ISOLADOR DE PORCELANA, TIPO BUCHA, PARA TENSAO DE *15* KV EM QUESTÃO FOI UTILIZADO A MÃO DE OBRA DO ISOLADOR DE PORCELANA, TIPO BUCHA, PARA TENSAO DE 15KV - FORNECIMENTO E INSTALACAO. BOLETIM 	AGESUL - 1201008190 -  01/2022.</t>
  </si>
  <si>
    <t>OBSERVAÇÃO: REFERÊNCIA PARA ADOÇÃO DOS COEFICIENTES DE CONSUMO: 1201008438/AGESUL. PORTANTO, O INUSMO PINO AUTO TRAVANTE PARA ISOLADOR EM QUESTÃO  FOI UTILIZADO A MÃO DE OBRA DO PINO ISOLADOR POLIMERICO 15 KV, 3/8" X 180MM. BOLETIM AGESUL - JANEIRO/ 2021. (MATERIAL SIMILAR)</t>
  </si>
  <si>
    <t>OBSERVAÇÃO: REFERÊNCIA PARA ADOÇÃO DOS COEFICIENTES DE CONSUMO:  021301/AGETOP CIVIL. PORTANTO, O INSUMO PLACA DE OBRA EM QUESTÃO FOI UTILIZADO A MÃO DE OBRA PLACA DE OBRA PLOTADA EM CHAPA METÁLICA 26 , AFIXADA EM CAVALETES DE MADEIRA DE LEI (VIGOTAS 6X12CM) - PADRÃO GOINFRA. BOLETIM /AGETOP CIVIL - JULHO / 2022.</t>
  </si>
  <si>
    <t>OBSERVAÇÃO: REFERÊNCIA PARA ADOÇÃO DOS COEFICIENTES DE CONSUMO: 7917/ORSE. PORTANTO, O INUSMO CABO DE COBRE XLPE 50MM 15KV EM QUESTÃO  FOI UTILIZADO A MÃO DE OBRA DO Cabo de cobre isolado em EPR flexível unipolar 50mm² - 0,6Kv/1Kv/90°. BOLETIM ORSE - JULHO/ 2022. (MATERIAL SIMILAR)</t>
  </si>
  <si>
    <t>CUIABÁ - MT, 04 DE NOVEMBRO DE 2022</t>
  </si>
  <si>
    <r>
      <rPr>
        <sz val="11"/>
        <rFont val="Times New Roman"/>
        <family val="1"/>
      </rPr>
      <t>IMPORTA O VALOR TOTAL DO CONTRATO DE VALOR: QUINHENTOS</t>
    </r>
    <r>
      <rPr>
        <b/>
        <sz val="11"/>
        <rFont val="Times New Roman"/>
        <family val="1"/>
      </rPr>
      <t xml:space="preserve"> </t>
    </r>
    <r>
      <rPr>
        <sz val="11"/>
        <rFont val="Times New Roman"/>
        <family val="1"/>
      </rPr>
      <t>E DEZ MIL, SETECENTOS E SETENTA E CINCO REAIS E NOVENTA E TRÊS CENTAVOS</t>
    </r>
  </si>
  <si>
    <r>
      <rPr>
        <sz val="16"/>
        <rFont val="Times New Roman"/>
        <family val="1"/>
      </rPr>
      <t xml:space="preserve">Declaro que a planilha orçamentária apresentada para a obra
Centro de Reabilitação de Animais Silvestres (CRAS), adota a não
desoneração da folha de pagamento por ser a opção mais econômica para
a Admnistração Pública.
</t>
    </r>
    <r>
      <rPr>
        <sz val="14"/>
        <rFont val="Times New Roman"/>
        <family val="1"/>
      </rPr>
      <t xml:space="preserve">
Cuiabá/MT, 04 de Novembro de 2022.
___________________________
Jonatan Miller de Souza Freitas
CREA-MT: 035558
___________________________
Secretaria do estado
de meio ambiente
SEMA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</si>
</sst>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quot;R$&quot;* #,##0.00_);_(&quot;R$&quot;* \(#,##0.00\);_(&quot;R$&quot;* &quot;-&quot;??_);_(@_)"/>
    <numFmt numFmtId="167" formatCode="#,##0.0000"/>
    <numFmt numFmtId="168" formatCode="0.000"/>
    <numFmt numFmtId="169" formatCode="0.0%"/>
    <numFmt numFmtId="170" formatCode="_([$€-2]* #,##0.00_);_([$€-2]* \(#,##0.00\);_([$€-2]* &quot;-&quot;??_)"/>
    <numFmt numFmtId="171" formatCode="&quot;R$ &quot;#,##0.00"/>
    <numFmt numFmtId="172" formatCode="00000"/>
    <numFmt numFmtId="173" formatCode="0.00;[Red]0.00"/>
    <numFmt numFmtId="174" formatCode="#,##0.0000;[Red]#,##0.0000"/>
    <numFmt numFmtId="175" formatCode="#,##0.00;[Red]#,##0.00"/>
    <numFmt numFmtId="176" formatCode="#,##0.000;[Red]#,##0.000"/>
    <numFmt numFmtId="177" formatCode="_-* #,##0.0000_-;\-* #,##0.0000_-;_-* &quot;-&quot;??_-;_-@_-"/>
    <numFmt numFmtId="178" formatCode="0;[Red]0"/>
    <numFmt numFmtId="179" formatCode="_-* #,##0.00\ _D_M_-;\-* #,##0.00\ _D_M_-;_-* &quot;-&quot;??\ _D_M_-;_-@_-"/>
    <numFmt numFmtId="180" formatCode="_(&quot;$&quot;* #,##0.00_);_(&quot;$&quot;* \(#,##0.00\);_(&quot;$&quot;* &quot;-&quot;??_);_(@_)"/>
    <numFmt numFmtId="181" formatCode="_(&quot;$&quot;* #,##0_);_(&quot;$&quot;* \(#,##0\);_(&quot;$&quot;* &quot;-&quot;_);_(@_)"/>
    <numFmt numFmtId="182" formatCode="#."/>
    <numFmt numFmtId="183" formatCode="0.000000"/>
    <numFmt numFmtId="184" formatCode="_([$€]* #,##0.00_);_([$€]* \(#,##0.00\);_([$€]* &quot;-&quot;??_);_(@_)"/>
    <numFmt numFmtId="185" formatCode="#,##0.0000000;[Red]#,##0.0000000"/>
  </numFmts>
  <fonts count="82" x14ac:knownFonts="1">
    <font>
      <sz val="10"/>
      <name val="Arial"/>
    </font>
    <font>
      <sz val="11"/>
      <color theme="1"/>
      <name val="Calibri"/>
      <family val="2"/>
      <scheme val="minor"/>
    </font>
    <font>
      <sz val="10"/>
      <name val="Arial"/>
      <family val="2"/>
    </font>
    <font>
      <sz val="14"/>
      <name val="Arial"/>
      <family val="2"/>
    </font>
    <font>
      <b/>
      <sz val="14"/>
      <name val="Arial"/>
      <family val="2"/>
    </font>
    <font>
      <sz val="11"/>
      <name val="Arial"/>
      <family val="2"/>
    </font>
    <font>
      <b/>
      <sz val="12"/>
      <name val="Arial"/>
      <family val="2"/>
    </font>
    <font>
      <b/>
      <sz val="11"/>
      <name val="Arial"/>
      <family val="2"/>
    </font>
    <font>
      <sz val="12"/>
      <name val="Arial"/>
      <family val="2"/>
    </font>
    <font>
      <sz val="11"/>
      <color indexed="12"/>
      <name val="Arial"/>
      <family val="2"/>
    </font>
    <font>
      <b/>
      <sz val="10"/>
      <name val="Arial"/>
      <family val="2"/>
    </font>
    <font>
      <sz val="10"/>
      <name val="Arial"/>
      <family val="2"/>
    </font>
    <font>
      <sz val="12"/>
      <name val="Arial"/>
      <family val="2"/>
    </font>
    <font>
      <sz val="12"/>
      <color indexed="12"/>
      <name val="Arial"/>
      <family val="2"/>
    </font>
    <font>
      <sz val="8"/>
      <name val="Arial"/>
      <family val="2"/>
    </font>
    <font>
      <b/>
      <sz val="18"/>
      <name val="Arial"/>
      <family val="2"/>
    </font>
    <font>
      <sz val="12"/>
      <name val="Times New Roman"/>
      <family val="1"/>
    </font>
    <font>
      <b/>
      <i/>
      <sz val="12"/>
      <name val="Arial"/>
      <family val="2"/>
    </font>
    <font>
      <sz val="14"/>
      <color indexed="12"/>
      <name val="Arial"/>
      <family val="2"/>
    </font>
    <font>
      <sz val="12"/>
      <color indexed="10"/>
      <name val="Arial"/>
      <family val="2"/>
    </font>
    <font>
      <sz val="10"/>
      <color indexed="10"/>
      <name val="Arial"/>
      <family val="2"/>
    </font>
    <font>
      <b/>
      <u/>
      <sz val="20"/>
      <name val="Arial"/>
      <family val="2"/>
    </font>
    <font>
      <b/>
      <sz val="12"/>
      <color indexed="12"/>
      <name val="Arial"/>
      <family val="2"/>
    </font>
    <font>
      <b/>
      <sz val="13"/>
      <name val="Arial"/>
      <family val="2"/>
    </font>
    <font>
      <sz val="11"/>
      <color indexed="10"/>
      <name val="Arial"/>
      <family val="2"/>
    </font>
    <font>
      <b/>
      <sz val="12"/>
      <color indexed="10"/>
      <name val="Arial"/>
      <family val="2"/>
    </font>
    <font>
      <b/>
      <sz val="13"/>
      <color indexed="12"/>
      <name val="Arial"/>
      <family val="2"/>
    </font>
    <font>
      <b/>
      <sz val="16"/>
      <name val="Arial"/>
      <family val="2"/>
    </font>
    <font>
      <b/>
      <sz val="10"/>
      <color indexed="81"/>
      <name val="Tahoma"/>
      <family val="2"/>
    </font>
    <font>
      <b/>
      <sz val="8"/>
      <color indexed="81"/>
      <name val="Tahoma"/>
      <family val="2"/>
    </font>
    <font>
      <sz val="8"/>
      <color indexed="81"/>
      <name val="Tahoma"/>
      <family val="2"/>
    </font>
    <font>
      <b/>
      <sz val="11"/>
      <color indexed="12"/>
      <name val="Arial"/>
      <family val="2"/>
    </font>
    <font>
      <sz val="11"/>
      <color theme="1"/>
      <name val="Calibri"/>
      <family val="2"/>
      <scheme val="minor"/>
    </font>
    <font>
      <sz val="11"/>
      <color rgb="FFFF0000"/>
      <name val="Arial"/>
      <family val="2"/>
    </font>
    <font>
      <sz val="12"/>
      <name val="Calibri"/>
      <family val="2"/>
      <scheme val="minor"/>
    </font>
    <font>
      <sz val="11"/>
      <name val="Calibri"/>
      <family val="2"/>
      <scheme val="minor"/>
    </font>
    <font>
      <sz val="12"/>
      <color theme="1"/>
      <name val="Calibri"/>
      <family val="2"/>
      <scheme val="minor"/>
    </font>
    <font>
      <sz val="12"/>
      <color indexed="12"/>
      <name val="Calibri"/>
      <family val="2"/>
      <scheme val="minor"/>
    </font>
    <font>
      <sz val="10"/>
      <color rgb="FF000000"/>
      <name val="Times New Roman"/>
      <family val="1"/>
    </font>
    <font>
      <sz val="10"/>
      <color indexed="8"/>
      <name val="Arial"/>
      <family val="2"/>
    </font>
    <font>
      <sz val="10"/>
      <name val="MS Sans Serif"/>
      <family val="2"/>
    </font>
    <font>
      <sz val="1"/>
      <color indexed="16"/>
      <name val="Courier"/>
      <family val="3"/>
    </font>
    <font>
      <sz val="1"/>
      <color indexed="18"/>
      <name val="Courier"/>
      <family val="3"/>
    </font>
    <font>
      <b/>
      <sz val="1"/>
      <color indexed="16"/>
      <name val="Courier"/>
      <family val="3"/>
    </font>
    <font>
      <sz val="11"/>
      <color indexed="8"/>
      <name val="Calibri"/>
      <family val="2"/>
    </font>
    <font>
      <sz val="11"/>
      <color indexed="20"/>
      <name val="Calibri"/>
      <family val="2"/>
    </font>
    <font>
      <sz val="11"/>
      <color indexed="60"/>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2"/>
      <name val="Times New Roman"/>
      <family val="1"/>
    </font>
    <font>
      <b/>
      <sz val="20"/>
      <name val="Times New Roman"/>
      <family val="1"/>
    </font>
    <font>
      <b/>
      <sz val="11"/>
      <name val="Times New Roman"/>
      <family val="1"/>
    </font>
    <font>
      <sz val="11"/>
      <name val="Times New Roman"/>
      <family val="1"/>
    </font>
    <font>
      <b/>
      <sz val="11"/>
      <color theme="0"/>
      <name val="Times New Roman"/>
      <family val="1"/>
    </font>
    <font>
      <b/>
      <sz val="11"/>
      <color theme="1"/>
      <name val="Times New Roman"/>
      <family val="1"/>
    </font>
    <font>
      <b/>
      <sz val="11"/>
      <color rgb="FFFF0000"/>
      <name val="Times New Roman"/>
      <family val="1"/>
    </font>
    <font>
      <sz val="11"/>
      <color theme="1"/>
      <name val="Times New Roman"/>
      <family val="1"/>
    </font>
    <font>
      <b/>
      <i/>
      <sz val="11"/>
      <name val="Times New Roman"/>
      <family val="1"/>
    </font>
    <font>
      <sz val="20"/>
      <color theme="1"/>
      <name val="Times New Roman"/>
      <family val="1"/>
    </font>
    <font>
      <b/>
      <sz val="11"/>
      <color indexed="8"/>
      <name val="Times New Roman"/>
      <family val="1"/>
    </font>
    <font>
      <sz val="15"/>
      <color theme="1"/>
      <name val="Times New Roman"/>
      <family val="1"/>
    </font>
    <font>
      <sz val="14"/>
      <name val="Times New Roman"/>
      <family val="1"/>
    </font>
    <font>
      <sz val="16"/>
      <name val="Times New Roman"/>
      <family val="1"/>
    </font>
    <font>
      <sz val="11"/>
      <color rgb="FF663D14"/>
      <name val="Times New Roman"/>
      <family val="1"/>
    </font>
    <font>
      <sz val="9"/>
      <color rgb="FF663D14"/>
      <name val="Arial"/>
      <family val="2"/>
    </font>
  </fonts>
  <fills count="41">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17"/>
        <bgColor indexed="64"/>
      </patternFill>
    </fill>
    <fill>
      <patternFill patternType="solid">
        <fgColor indexed="41"/>
        <bgColor indexed="64"/>
      </patternFill>
    </fill>
    <fill>
      <patternFill patternType="solid">
        <fgColor indexed="44"/>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45"/>
      </patternFill>
    </fill>
    <fill>
      <patternFill patternType="solid">
        <fgColor indexed="43"/>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9"/>
      </patternFill>
    </fill>
    <fill>
      <patternFill patternType="solid">
        <fgColor indexed="26"/>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7"/>
      </patternFill>
    </fill>
    <fill>
      <patternFill patternType="solid">
        <fgColor indexed="62"/>
      </patternFill>
    </fill>
    <fill>
      <patternFill patternType="solid">
        <fgColor indexed="10"/>
      </patternFill>
    </fill>
    <fill>
      <patternFill patternType="solid">
        <fgColor indexed="55"/>
      </patternFill>
    </fill>
    <fill>
      <patternFill patternType="solid">
        <fgColor indexed="56"/>
      </patternFill>
    </fill>
    <fill>
      <patternFill patternType="solid">
        <fgColor indexed="54"/>
      </patternFill>
    </fill>
    <fill>
      <patternFill patternType="solid">
        <fgColor theme="5"/>
        <bgColor indexed="64"/>
      </patternFill>
    </fill>
    <fill>
      <patternFill patternType="solid">
        <fgColor theme="0"/>
        <bgColor indexed="64"/>
      </patternFill>
    </fill>
    <fill>
      <patternFill patternType="solid">
        <fgColor theme="0" tint="-0.34998626667073579"/>
        <bgColor indexed="64"/>
      </patternFill>
    </fill>
  </fills>
  <borders count="95">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4"/>
      </left>
      <right style="medium">
        <color indexed="64"/>
      </right>
      <top style="medium">
        <color indexed="64"/>
      </top>
      <bottom style="hair">
        <color indexed="64"/>
      </bottom>
      <diagonal/>
    </border>
    <border>
      <left style="thin">
        <color indexed="64"/>
      </left>
      <right/>
      <top/>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diagonal/>
    </border>
    <border>
      <left/>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right/>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medium">
        <color indexed="64"/>
      </right>
      <top/>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47">
    <xf numFmtId="0" fontId="0" fillId="0" borderId="0"/>
    <xf numFmtId="170"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32" fillId="0" borderId="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4" fontId="2" fillId="0" borderId="0" applyFont="0" applyFill="0" applyBorder="0" applyAlignment="0" applyProtection="0"/>
    <xf numFmtId="0" fontId="1" fillId="0" borderId="0"/>
    <xf numFmtId="0" fontId="11" fillId="0" borderId="0"/>
    <xf numFmtId="0" fontId="11" fillId="0" borderId="0"/>
    <xf numFmtId="179"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38" fillId="0" borderId="0"/>
    <xf numFmtId="0" fontId="1" fillId="0" borderId="0"/>
    <xf numFmtId="43" fontId="1" fillId="0" borderId="0" applyFont="0" applyFill="0" applyBorder="0" applyAlignment="0" applyProtection="0"/>
    <xf numFmtId="43" fontId="11" fillId="0" borderId="0" applyFont="0" applyFill="0" applyBorder="0" applyAlignment="0" applyProtection="0"/>
    <xf numFmtId="0" fontId="11" fillId="0" borderId="0">
      <alignment horizontal="justify" wrapText="1"/>
    </xf>
    <xf numFmtId="9"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1" fontId="11" fillId="0" borderId="0" applyFont="0" applyFill="0" applyBorder="0" applyAlignment="0" applyProtection="0"/>
    <xf numFmtId="0" fontId="39" fillId="0" borderId="0"/>
    <xf numFmtId="0" fontId="40" fillId="0" borderId="0"/>
    <xf numFmtId="182" fontId="41" fillId="0" borderId="0">
      <protection locked="0"/>
    </xf>
    <xf numFmtId="182" fontId="41" fillId="0" borderId="0">
      <protection locked="0"/>
    </xf>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182" fontId="41" fillId="0" borderId="0">
      <protection locked="0"/>
    </xf>
    <xf numFmtId="182" fontId="41" fillId="0" borderId="0">
      <protection locked="0"/>
    </xf>
    <xf numFmtId="0" fontId="45" fillId="13" borderId="0" applyNumberFormat="0" applyBorder="0" applyAlignment="0" applyProtection="0"/>
    <xf numFmtId="0" fontId="46" fillId="14" borderId="0" applyNumberFormat="0" applyBorder="0" applyAlignment="0" applyProtection="0"/>
    <xf numFmtId="0" fontId="11" fillId="0" borderId="0"/>
    <xf numFmtId="0" fontId="11" fillId="0" borderId="0"/>
    <xf numFmtId="0" fontId="11" fillId="0" borderId="0"/>
    <xf numFmtId="0" fontId="11" fillId="0" borderId="0"/>
    <xf numFmtId="0" fontId="44" fillId="0" borderId="0"/>
    <xf numFmtId="0" fontId="11" fillId="0" borderId="0"/>
    <xf numFmtId="0" fontId="11" fillId="0" borderId="0"/>
    <xf numFmtId="0" fontId="11" fillId="0" borderId="0"/>
    <xf numFmtId="0" fontId="11" fillId="0" borderId="0"/>
    <xf numFmtId="0" fontId="11" fillId="0" borderId="0"/>
    <xf numFmtId="0" fontId="40" fillId="0" borderId="0"/>
    <xf numFmtId="0" fontId="11" fillId="0" borderId="0"/>
    <xf numFmtId="182" fontId="41" fillId="0" borderId="0">
      <protection locked="0"/>
    </xf>
    <xf numFmtId="182" fontId="41" fillId="0" borderId="0">
      <protection locked="0"/>
    </xf>
    <xf numFmtId="182" fontId="41" fillId="0" borderId="0">
      <protection locked="0"/>
    </xf>
    <xf numFmtId="182" fontId="41" fillId="0" borderId="0">
      <protection locked="0"/>
    </xf>
    <xf numFmtId="182" fontId="42" fillId="0" borderId="0">
      <protection locked="0"/>
    </xf>
    <xf numFmtId="182" fontId="42" fillId="0" borderId="0">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3" fontId="44" fillId="0" borderId="0" applyFont="0" applyFill="0" applyBorder="0" applyAlignment="0" applyProtection="0"/>
    <xf numFmtId="182" fontId="43" fillId="0" borderId="0">
      <protection locked="0"/>
    </xf>
    <xf numFmtId="182" fontId="43" fillId="0" borderId="0">
      <protection locked="0"/>
    </xf>
    <xf numFmtId="182" fontId="43" fillId="0" borderId="0">
      <protection locked="0"/>
    </xf>
    <xf numFmtId="182" fontId="43" fillId="0" borderId="0">
      <protection locked="0"/>
    </xf>
    <xf numFmtId="182" fontId="41" fillId="0" borderId="79">
      <protection locked="0"/>
    </xf>
    <xf numFmtId="182" fontId="41" fillId="0" borderId="79">
      <protection locked="0"/>
    </xf>
    <xf numFmtId="182" fontId="41" fillId="0" borderId="79">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xf numFmtId="0" fontId="1" fillId="0" borderId="0"/>
    <xf numFmtId="0" fontId="44" fillId="15" borderId="0" applyNumberFormat="0" applyBorder="0" applyAlignment="0" applyProtection="0"/>
    <xf numFmtId="0" fontId="44" fillId="15"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7" fillId="27"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18" borderId="0" applyNumberFormat="0" applyBorder="0" applyAlignment="0" applyProtection="0"/>
    <xf numFmtId="0" fontId="47" fillId="31" borderId="0" applyNumberFormat="0" applyBorder="0" applyAlignment="0" applyProtection="0"/>
    <xf numFmtId="0" fontId="47" fillId="25" borderId="0" applyNumberFormat="0" applyBorder="0" applyAlignment="0" applyProtection="0"/>
    <xf numFmtId="0" fontId="47" fillId="13" borderId="0" applyNumberFormat="0" applyBorder="0" applyAlignment="0" applyProtection="0"/>
    <xf numFmtId="0" fontId="47" fillId="18" borderId="0" applyNumberFormat="0" applyBorder="0" applyAlignment="0" applyProtection="0"/>
    <xf numFmtId="0" fontId="47" fillId="21"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2"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1" borderId="0" applyNumberFormat="0" applyBorder="0" applyAlignment="0" applyProtection="0"/>
    <xf numFmtId="0" fontId="45" fillId="13" borderId="0" applyNumberFormat="0" applyBorder="0" applyAlignment="0" applyProtection="0"/>
    <xf numFmtId="0" fontId="51" fillId="18" borderId="0" applyNumberFormat="0" applyBorder="0" applyAlignment="0" applyProtection="0"/>
    <xf numFmtId="0" fontId="48" fillId="26" borderId="80" applyNumberFormat="0" applyAlignment="0" applyProtection="0"/>
    <xf numFmtId="0" fontId="61" fillId="22" borderId="80" applyNumberFormat="0" applyAlignment="0" applyProtection="0"/>
    <xf numFmtId="0" fontId="49" fillId="35" borderId="81" applyNumberFormat="0" applyAlignment="0" applyProtection="0"/>
    <xf numFmtId="0" fontId="60" fillId="0" borderId="83" applyNumberFormat="0" applyFill="0" applyAlignment="0" applyProtection="0"/>
    <xf numFmtId="0" fontId="49" fillId="35" borderId="81" applyNumberFormat="0" applyAlignment="0" applyProtection="0"/>
    <xf numFmtId="0" fontId="47" fillId="36" borderId="0" applyNumberFormat="0" applyBorder="0" applyAlignment="0" applyProtection="0"/>
    <xf numFmtId="0" fontId="47" fillId="31" borderId="0" applyNumberFormat="0" applyBorder="0" applyAlignment="0" applyProtection="0"/>
    <xf numFmtId="0" fontId="47" fillId="25" borderId="0" applyNumberFormat="0" applyBorder="0" applyAlignment="0" applyProtection="0"/>
    <xf numFmtId="0" fontId="47" fillId="37" borderId="0" applyNumberFormat="0" applyBorder="0" applyAlignment="0" applyProtection="0"/>
    <xf numFmtId="0" fontId="47" fillId="29" borderId="0" applyNumberFormat="0" applyBorder="0" applyAlignment="0" applyProtection="0"/>
    <xf numFmtId="0" fontId="47" fillId="34" borderId="0" applyNumberFormat="0" applyBorder="0" applyAlignment="0" applyProtection="0"/>
    <xf numFmtId="0" fontId="55" fillId="14" borderId="80" applyNumberFormat="0" applyAlignment="0" applyProtection="0"/>
    <xf numFmtId="0" fontId="50" fillId="0" borderId="0" applyNumberFormat="0" applyFill="0" applyBorder="0" applyAlignment="0" applyProtection="0"/>
    <xf numFmtId="0" fontId="51" fillId="16" borderId="0" applyNumberFormat="0" applyBorder="0" applyAlignment="0" applyProtection="0"/>
    <xf numFmtId="0" fontId="52" fillId="0" borderId="84" applyNumberFormat="0" applyFill="0" applyAlignment="0" applyProtection="0"/>
    <xf numFmtId="0" fontId="53" fillId="0" borderId="85" applyNumberFormat="0" applyFill="0" applyAlignment="0" applyProtection="0"/>
    <xf numFmtId="0" fontId="54" fillId="0" borderId="86" applyNumberFormat="0" applyFill="0" applyAlignment="0" applyProtection="0"/>
    <xf numFmtId="0" fontId="54" fillId="0" borderId="0" applyNumberFormat="0" applyFill="0" applyBorder="0" applyAlignment="0" applyProtection="0"/>
    <xf numFmtId="0" fontId="55" fillId="19" borderId="80" applyNumberFormat="0" applyAlignment="0" applyProtection="0"/>
    <xf numFmtId="0" fontId="56" fillId="0" borderId="82" applyNumberFormat="0" applyFill="0" applyAlignment="0" applyProtection="0"/>
    <xf numFmtId="44" fontId="1" fillId="0" borderId="0" applyFont="0" applyFill="0" applyBorder="0" applyAlignment="0" applyProtection="0"/>
    <xf numFmtId="0" fontId="46" fillId="14" borderId="0" applyNumberFormat="0" applyBorder="0" applyAlignment="0" applyProtection="0"/>
    <xf numFmtId="0" fontId="39" fillId="0" borderId="0"/>
    <xf numFmtId="0" fontId="39" fillId="0" borderId="0"/>
    <xf numFmtId="0" fontId="38" fillId="0" borderId="0"/>
    <xf numFmtId="0" fontId="39" fillId="0" borderId="0"/>
    <xf numFmtId="0" fontId="11" fillId="0" borderId="0"/>
    <xf numFmtId="0" fontId="11" fillId="0" borderId="0"/>
    <xf numFmtId="0" fontId="44" fillId="0" borderId="0"/>
    <xf numFmtId="0" fontId="11" fillId="23" borderId="87" applyNumberFormat="0" applyFont="0" applyAlignment="0" applyProtection="0"/>
    <xf numFmtId="0" fontId="11" fillId="23" borderId="87" applyNumberFormat="0" applyFont="0" applyAlignment="0" applyProtection="0"/>
    <xf numFmtId="0" fontId="44" fillId="23" borderId="87" applyNumberFormat="0" applyFont="0" applyAlignment="0" applyProtection="0"/>
    <xf numFmtId="0" fontId="44" fillId="23" borderId="87" applyNumberFormat="0" applyFont="0" applyAlignment="0" applyProtection="0"/>
    <xf numFmtId="0" fontId="57" fillId="26" borderId="88" applyNumberFormat="0" applyAlignment="0" applyProtection="0"/>
    <xf numFmtId="0" fontId="57" fillId="22" borderId="88" applyNumberFormat="0" applyAlignment="0" applyProtection="0"/>
    <xf numFmtId="183" fontId="44" fillId="0" borderId="0" applyFont="0" applyFill="0" applyBorder="0" applyAlignment="0" applyProtection="0"/>
    <xf numFmtId="0" fontId="60" fillId="0" borderId="0" applyNumberFormat="0" applyFill="0" applyBorder="0" applyAlignment="0" applyProtection="0"/>
    <xf numFmtId="0" fontId="50" fillId="0" borderId="0" applyNumberFormat="0" applyFill="0" applyBorder="0" applyAlignment="0" applyProtection="0"/>
    <xf numFmtId="0" fontId="58" fillId="0" borderId="0" applyNumberFormat="0" applyFill="0" applyBorder="0" applyAlignment="0" applyProtection="0"/>
    <xf numFmtId="0" fontId="63" fillId="0" borderId="89" applyNumberFormat="0" applyFill="0" applyAlignment="0" applyProtection="0"/>
    <xf numFmtId="0" fontId="64" fillId="0" borderId="90" applyNumberFormat="0" applyFill="0" applyAlignment="0" applyProtection="0"/>
    <xf numFmtId="0" fontId="65" fillId="0" borderId="91" applyNumberFormat="0" applyFill="0" applyAlignment="0" applyProtection="0"/>
    <xf numFmtId="0" fontId="65" fillId="0" borderId="0" applyNumberFormat="0" applyFill="0" applyBorder="0" applyAlignment="0" applyProtection="0"/>
    <xf numFmtId="0" fontId="62" fillId="0" borderId="0" applyNumberFormat="0" applyFill="0" applyBorder="0" applyAlignment="0" applyProtection="0"/>
    <xf numFmtId="0" fontId="59" fillId="0" borderId="92" applyNumberFormat="0" applyFill="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12">
    <xf numFmtId="0" fontId="0" fillId="0" borderId="0" xfId="0"/>
    <xf numFmtId="0" fontId="3" fillId="0" borderId="0" xfId="0" applyFont="1" applyAlignment="1">
      <alignment horizontal="left"/>
    </xf>
    <xf numFmtId="0" fontId="4" fillId="0" borderId="0" xfId="0" applyFont="1" applyAlignment="1">
      <alignment horizontal="left"/>
    </xf>
    <xf numFmtId="0" fontId="5" fillId="0" borderId="0" xfId="0" applyFont="1"/>
    <xf numFmtId="0" fontId="6" fillId="0" borderId="0" xfId="0" applyFont="1" applyAlignment="1">
      <alignment horizontal="left"/>
    </xf>
    <xf numFmtId="0" fontId="8" fillId="0" borderId="0" xfId="0" applyFont="1" applyAlignment="1">
      <alignment horizontal="left"/>
    </xf>
    <xf numFmtId="0" fontId="8" fillId="0" borderId="0" xfId="0" applyFont="1"/>
    <xf numFmtId="0" fontId="10" fillId="0" borderId="0" xfId="0" applyFont="1"/>
    <xf numFmtId="0" fontId="12" fillId="0" borderId="0" xfId="0" applyFont="1"/>
    <xf numFmtId="0" fontId="8" fillId="0" borderId="1" xfId="0" applyFont="1" applyBorder="1" applyAlignment="1">
      <alignment horizontal="left"/>
    </xf>
    <xf numFmtId="0" fontId="8" fillId="0" borderId="1" xfId="0" applyFont="1" applyBorder="1"/>
    <xf numFmtId="0" fontId="12" fillId="0" borderId="0" xfId="0" applyFont="1" applyAlignment="1">
      <alignment horizontal="left"/>
    </xf>
    <xf numFmtId="164" fontId="8" fillId="0" borderId="2" xfId="8" applyFont="1" applyFill="1" applyBorder="1"/>
    <xf numFmtId="0" fontId="5" fillId="0" borderId="2" xfId="0" applyFont="1" applyBorder="1" applyAlignment="1">
      <alignment horizontal="center"/>
    </xf>
    <xf numFmtId="4" fontId="8" fillId="0" borderId="2" xfId="0" applyNumberFormat="1" applyFont="1" applyBorder="1"/>
    <xf numFmtId="2" fontId="8" fillId="0" borderId="2" xfId="0" applyNumberFormat="1" applyFont="1" applyBorder="1" applyAlignment="1">
      <alignment horizontal="center"/>
    </xf>
    <xf numFmtId="4" fontId="5" fillId="0" borderId="3" xfId="0" applyNumberFormat="1" applyFont="1" applyBorder="1" applyAlignment="1">
      <alignment vertical="center"/>
    </xf>
    <xf numFmtId="164" fontId="5" fillId="0" borderId="3" xfId="0" applyNumberFormat="1" applyFont="1" applyBorder="1" applyAlignment="1">
      <alignment vertical="center"/>
    </xf>
    <xf numFmtId="0" fontId="3" fillId="0" borderId="0" xfId="0" applyFont="1"/>
    <xf numFmtId="0" fontId="3" fillId="0" borderId="0" xfId="0" applyFont="1" applyAlignment="1">
      <alignment horizontal="center"/>
    </xf>
    <xf numFmtId="0" fontId="12" fillId="0" borderId="0" xfId="0" applyFont="1" applyAlignment="1">
      <alignment horizontal="center"/>
    </xf>
    <xf numFmtId="10" fontId="13" fillId="0" borderId="0" xfId="5" applyNumberFormat="1" applyFont="1" applyFill="1" applyBorder="1" applyAlignment="1">
      <alignment horizontal="center"/>
    </xf>
    <xf numFmtId="0" fontId="8" fillId="0" borderId="0" xfId="0" applyFont="1" applyAlignment="1">
      <alignment horizontal="right"/>
    </xf>
    <xf numFmtId="164" fontId="7" fillId="0" borderId="4" xfId="8" applyFont="1" applyFill="1" applyBorder="1" applyAlignment="1">
      <alignment horizontal="justify" vertical="center"/>
    </xf>
    <xf numFmtId="164" fontId="7" fillId="0" borderId="3" xfId="0" applyNumberFormat="1" applyFont="1" applyBorder="1" applyAlignment="1">
      <alignment vertical="center"/>
    </xf>
    <xf numFmtId="169" fontId="7" fillId="0" borderId="4" xfId="5" applyNumberFormat="1" applyFont="1" applyBorder="1" applyAlignment="1">
      <alignment horizontal="center"/>
    </xf>
    <xf numFmtId="4" fontId="5" fillId="0" borderId="3" xfId="0" applyNumberFormat="1" applyFont="1" applyBorder="1" applyAlignment="1">
      <alignment horizontal="right" vertical="center"/>
    </xf>
    <xf numFmtId="0" fontId="7" fillId="0" borderId="3" xfId="0" quotePrefix="1" applyFont="1" applyBorder="1" applyAlignment="1">
      <alignment vertical="center" wrapText="1"/>
    </xf>
    <xf numFmtId="0" fontId="5" fillId="0" borderId="3" xfId="0" quotePrefix="1" applyFont="1" applyBorder="1" applyAlignment="1">
      <alignment horizontal="center" vertical="center"/>
    </xf>
    <xf numFmtId="164" fontId="5" fillId="0" borderId="3" xfId="8" applyFont="1" applyBorder="1" applyAlignment="1">
      <alignment horizontal="right" vertical="center" wrapText="1"/>
    </xf>
    <xf numFmtId="164" fontId="5" fillId="0" borderId="3" xfId="8" applyFont="1" applyBorder="1" applyAlignment="1">
      <alignment horizontal="right" vertical="center"/>
    </xf>
    <xf numFmtId="164" fontId="5" fillId="0" borderId="4" xfId="8" applyFont="1" applyBorder="1" applyAlignment="1">
      <alignment horizontal="right" vertical="center"/>
    </xf>
    <xf numFmtId="164" fontId="5" fillId="0" borderId="3" xfId="8" applyFont="1" applyBorder="1" applyAlignment="1">
      <alignment horizontal="center" vertical="center" wrapText="1"/>
    </xf>
    <xf numFmtId="0" fontId="5" fillId="0" borderId="3" xfId="0" quotePrefix="1" applyFont="1" applyBorder="1" applyAlignment="1">
      <alignment horizontal="justify" vertical="center" wrapText="1"/>
    </xf>
    <xf numFmtId="164" fontId="7" fillId="0" borderId="6" xfId="8" applyFont="1" applyFill="1" applyBorder="1" applyAlignment="1">
      <alignment horizontal="center" vertical="center"/>
    </xf>
    <xf numFmtId="164" fontId="7" fillId="0" borderId="3" xfId="8" applyFont="1" applyFill="1" applyBorder="1" applyAlignment="1">
      <alignment horizontal="justify" vertical="center"/>
    </xf>
    <xf numFmtId="164" fontId="5" fillId="0" borderId="3" xfId="8" quotePrefix="1" applyFont="1" applyFill="1" applyBorder="1" applyAlignment="1">
      <alignment horizontal="center" vertical="center"/>
    </xf>
    <xf numFmtId="164" fontId="5" fillId="0" borderId="3" xfId="8" applyFont="1" applyFill="1" applyBorder="1" applyAlignment="1">
      <alignment horizontal="center" vertical="center"/>
    </xf>
    <xf numFmtId="164" fontId="5" fillId="0" borderId="4" xfId="8" applyFont="1" applyFill="1" applyBorder="1" applyAlignment="1">
      <alignment horizontal="right" vertical="center"/>
    </xf>
    <xf numFmtId="164" fontId="5" fillId="0" borderId="6" xfId="8" applyFont="1" applyFill="1" applyBorder="1" applyAlignment="1">
      <alignment horizontal="center" vertical="center"/>
    </xf>
    <xf numFmtId="164" fontId="5" fillId="0" borderId="3" xfId="8" applyFont="1" applyBorder="1" applyAlignment="1">
      <alignment horizontal="center" vertical="center"/>
    </xf>
    <xf numFmtId="164" fontId="5" fillId="0" borderId="3" xfId="8" quotePrefix="1" applyFont="1" applyBorder="1" applyAlignment="1">
      <alignment horizontal="justify" vertical="center"/>
    </xf>
    <xf numFmtId="164" fontId="5" fillId="0" borderId="3" xfId="8" quotePrefix="1" applyFont="1" applyBorder="1" applyAlignment="1">
      <alignment vertical="center"/>
    </xf>
    <xf numFmtId="164" fontId="7" fillId="0" borderId="4" xfId="8" applyFont="1" applyFill="1" applyBorder="1" applyAlignment="1">
      <alignment horizontal="right" vertical="center"/>
    </xf>
    <xf numFmtId="164" fontId="5" fillId="0" borderId="3" xfId="8" applyFont="1" applyFill="1" applyBorder="1" applyAlignment="1">
      <alignment horizontal="center" vertical="center" wrapText="1"/>
    </xf>
    <xf numFmtId="164" fontId="5" fillId="0" borderId="3" xfId="8" quotePrefix="1" applyFont="1" applyBorder="1" applyAlignment="1">
      <alignment horizontal="center" vertical="center"/>
    </xf>
    <xf numFmtId="0" fontId="7" fillId="0" borderId="3" xfId="0" quotePrefix="1" applyFont="1" applyBorder="1" applyAlignment="1">
      <alignment horizontal="center" vertical="center"/>
    </xf>
    <xf numFmtId="164" fontId="7" fillId="0" borderId="3" xfId="8" applyFont="1" applyBorder="1" applyAlignment="1">
      <alignment horizontal="center" vertical="center"/>
    </xf>
    <xf numFmtId="164" fontId="7" fillId="0" borderId="3" xfId="8" quotePrefix="1" applyFont="1" applyBorder="1" applyAlignment="1">
      <alignment horizontal="justify" vertical="center"/>
    </xf>
    <xf numFmtId="164" fontId="5" fillId="0" borderId="3" xfId="8" applyFont="1" applyFill="1" applyBorder="1" applyAlignment="1">
      <alignment vertical="center"/>
    </xf>
    <xf numFmtId="0" fontId="5" fillId="0" borderId="3" xfId="0" quotePrefix="1" applyFont="1" applyBorder="1" applyAlignment="1">
      <alignment vertical="center" wrapText="1"/>
    </xf>
    <xf numFmtId="164" fontId="5" fillId="0" borderId="3" xfId="8" applyFont="1" applyBorder="1" applyAlignment="1">
      <alignment horizontal="justify" vertical="center"/>
    </xf>
    <xf numFmtId="164" fontId="7" fillId="0" borderId="3" xfId="8" quotePrefix="1" applyFont="1" applyBorder="1" applyAlignment="1">
      <alignment vertical="center" wrapText="1"/>
    </xf>
    <xf numFmtId="164" fontId="7" fillId="0" borderId="4" xfId="8" applyFont="1" applyBorder="1" applyAlignment="1">
      <alignment horizontal="right" vertical="center" wrapText="1"/>
    </xf>
    <xf numFmtId="164" fontId="7" fillId="0" borderId="3" xfId="8" applyFont="1" applyBorder="1" applyAlignment="1">
      <alignment horizontal="left" vertical="center"/>
    </xf>
    <xf numFmtId="164" fontId="7" fillId="0" borderId="7" xfId="8" applyFont="1" applyFill="1" applyBorder="1" applyAlignment="1">
      <alignment horizontal="center" vertical="center"/>
    </xf>
    <xf numFmtId="164" fontId="5" fillId="0" borderId="8" xfId="8" applyFont="1" applyFill="1" applyBorder="1" applyAlignment="1">
      <alignment horizontal="center" vertical="center"/>
    </xf>
    <xf numFmtId="0" fontId="5" fillId="0" borderId="6" xfId="0" applyFont="1" applyBorder="1" applyAlignment="1" applyProtection="1">
      <alignment horizontal="center" vertical="center"/>
      <protection locked="0"/>
    </xf>
    <xf numFmtId="0" fontId="5" fillId="0" borderId="3" xfId="0" quotePrefix="1" applyFont="1" applyBorder="1" applyAlignment="1">
      <alignment vertical="center"/>
    </xf>
    <xf numFmtId="0" fontId="5" fillId="0" borderId="7" xfId="0" applyFont="1" applyBorder="1" applyAlignment="1">
      <alignment horizontal="center" vertical="center"/>
    </xf>
    <xf numFmtId="0" fontId="5" fillId="0" borderId="8" xfId="0" applyFont="1" applyBorder="1" applyAlignment="1">
      <alignment horizontal="left" vertical="center"/>
    </xf>
    <xf numFmtId="0" fontId="5" fillId="0" borderId="8" xfId="0" applyFont="1" applyBorder="1" applyAlignment="1">
      <alignment vertical="center"/>
    </xf>
    <xf numFmtId="0" fontId="19" fillId="0" borderId="0" xfId="0" applyFont="1"/>
    <xf numFmtId="0" fontId="17" fillId="0" borderId="0" xfId="0" applyFont="1" applyAlignment="1">
      <alignment horizontal="left"/>
    </xf>
    <xf numFmtId="0" fontId="8" fillId="0" borderId="0" xfId="0" applyFont="1" applyAlignment="1">
      <alignment horizontal="center"/>
    </xf>
    <xf numFmtId="0" fontId="8" fillId="0" borderId="9" xfId="0" applyFont="1" applyBorder="1" applyAlignment="1">
      <alignment horizontal="right"/>
    </xf>
    <xf numFmtId="164" fontId="5" fillId="0" borderId="3" xfId="0" applyNumberFormat="1" applyFont="1" applyBorder="1" applyAlignment="1">
      <alignment horizontal="right" vertical="center" wrapText="1"/>
    </xf>
    <xf numFmtId="0" fontId="11" fillId="0" borderId="0" xfId="0" applyFont="1"/>
    <xf numFmtId="168" fontId="11" fillId="0" borderId="0" xfId="0" applyNumberFormat="1" applyFont="1"/>
    <xf numFmtId="0" fontId="10" fillId="2" borderId="10" xfId="0" applyFont="1" applyFill="1" applyBorder="1" applyAlignment="1">
      <alignment horizontal="center"/>
    </xf>
    <xf numFmtId="0" fontId="11" fillId="0" borderId="10" xfId="0" applyFont="1" applyBorder="1" applyAlignment="1">
      <alignment horizontal="left"/>
    </xf>
    <xf numFmtId="0" fontId="11" fillId="0" borderId="10" xfId="0" applyFont="1" applyBorder="1" applyAlignment="1">
      <alignment wrapText="1"/>
    </xf>
    <xf numFmtId="0" fontId="11" fillId="0" borderId="10" xfId="0" applyFont="1" applyBorder="1" applyAlignment="1">
      <alignment horizontal="center"/>
    </xf>
    <xf numFmtId="2" fontId="11" fillId="0" borderId="10" xfId="0" applyNumberFormat="1" applyFont="1" applyBorder="1"/>
    <xf numFmtId="0" fontId="11" fillId="3" borderId="10" xfId="0" applyFont="1" applyFill="1" applyBorder="1" applyAlignment="1">
      <alignment horizontal="left"/>
    </xf>
    <xf numFmtId="0" fontId="11" fillId="3" borderId="10" xfId="0" applyFont="1" applyFill="1" applyBorder="1" applyAlignment="1">
      <alignment wrapText="1"/>
    </xf>
    <xf numFmtId="0" fontId="11" fillId="3" borderId="10" xfId="0" applyFont="1" applyFill="1" applyBorder="1" applyAlignment="1">
      <alignment horizontal="center"/>
    </xf>
    <xf numFmtId="2" fontId="11" fillId="3" borderId="10" xfId="0" applyNumberFormat="1" applyFont="1" applyFill="1" applyBorder="1"/>
    <xf numFmtId="0" fontId="11" fillId="0" borderId="10" xfId="0" quotePrefix="1" applyFont="1" applyBorder="1" applyAlignment="1">
      <alignment horizontal="center"/>
    </xf>
    <xf numFmtId="0" fontId="11" fillId="0" borderId="10" xfId="0" applyFont="1" applyBorder="1"/>
    <xf numFmtId="0" fontId="11" fillId="0" borderId="10" xfId="0" quotePrefix="1" applyFont="1" applyBorder="1" applyAlignment="1">
      <alignment horizontal="center" vertical="center"/>
    </xf>
    <xf numFmtId="0" fontId="11" fillId="2" borderId="11" xfId="0" applyFont="1" applyFill="1" applyBorder="1" applyAlignment="1">
      <alignment horizontal="center"/>
    </xf>
    <xf numFmtId="0" fontId="20" fillId="4" borderId="5" xfId="0" applyFont="1" applyFill="1" applyBorder="1" applyAlignment="1">
      <alignment horizontal="center"/>
    </xf>
    <xf numFmtId="2" fontId="11" fillId="0" borderId="0" xfId="0" applyNumberFormat="1" applyFont="1"/>
    <xf numFmtId="164" fontId="5" fillId="0" borderId="12" xfId="8" applyFont="1" applyFill="1" applyBorder="1" applyAlignment="1">
      <alignment horizontal="right" vertical="center"/>
    </xf>
    <xf numFmtId="4" fontId="5" fillId="0" borderId="3" xfId="0" applyNumberFormat="1" applyFont="1" applyBorder="1" applyAlignment="1" applyProtection="1">
      <alignment horizontal="right" vertical="center"/>
      <protection locked="0"/>
    </xf>
    <xf numFmtId="0" fontId="11" fillId="0" borderId="10" xfId="0" applyFont="1" applyBorder="1" applyAlignment="1">
      <alignment horizontal="center" vertical="center"/>
    </xf>
    <xf numFmtId="0" fontId="5" fillId="0" borderId="3" xfId="0" applyFont="1" applyBorder="1" applyAlignment="1">
      <alignment horizontal="center" vertical="center"/>
    </xf>
    <xf numFmtId="0" fontId="11" fillId="0" borderId="0" xfId="0" applyFont="1" applyAlignment="1">
      <alignment horizontal="center"/>
    </xf>
    <xf numFmtId="0" fontId="11" fillId="0" borderId="13" xfId="0" applyFont="1" applyBorder="1"/>
    <xf numFmtId="0" fontId="11" fillId="3" borderId="10" xfId="0" applyFont="1" applyFill="1" applyBorder="1" applyAlignment="1">
      <alignment horizontal="center" vertical="center"/>
    </xf>
    <xf numFmtId="0" fontId="8" fillId="3" borderId="0" xfId="0" applyFont="1" applyFill="1"/>
    <xf numFmtId="0" fontId="5" fillId="0" borderId="3" xfId="0" quotePrefix="1" applyFont="1" applyBorder="1" applyAlignment="1">
      <alignment horizontal="left" vertical="center" wrapText="1"/>
    </xf>
    <xf numFmtId="0" fontId="7" fillId="0" borderId="3" xfId="0" quotePrefix="1" applyFont="1" applyBorder="1" applyAlignment="1">
      <alignment horizontal="justify" vertical="center" wrapText="1"/>
    </xf>
    <xf numFmtId="164" fontId="5" fillId="0" borderId="3" xfId="8" quotePrefix="1" applyFont="1" applyFill="1" applyBorder="1" applyAlignment="1">
      <alignment vertical="center"/>
    </xf>
    <xf numFmtId="0" fontId="5" fillId="0" borderId="3" xfId="8" quotePrefix="1" applyNumberFormat="1" applyFont="1" applyFill="1" applyBorder="1" applyAlignment="1">
      <alignment vertical="center" wrapText="1"/>
    </xf>
    <xf numFmtId="0" fontId="5" fillId="0" borderId="3" xfId="0" applyFont="1" applyBorder="1" applyAlignment="1">
      <alignment vertical="center" wrapText="1"/>
    </xf>
    <xf numFmtId="0" fontId="5" fillId="0" borderId="3" xfId="0" applyFont="1" applyBorder="1" applyAlignment="1">
      <alignment horizontal="justify" vertical="center" wrapText="1"/>
    </xf>
    <xf numFmtId="164" fontId="5" fillId="0" borderId="3" xfId="8" applyFont="1" applyFill="1" applyBorder="1" applyAlignment="1">
      <alignment vertical="center" wrapText="1"/>
    </xf>
    <xf numFmtId="164" fontId="5" fillId="0" borderId="3" xfId="8" applyFont="1" applyFill="1" applyBorder="1" applyAlignment="1">
      <alignment horizontal="right" vertical="center" wrapText="1"/>
    </xf>
    <xf numFmtId="4" fontId="5" fillId="0" borderId="3" xfId="0" applyNumberFormat="1" applyFont="1" applyBorder="1" applyAlignment="1">
      <alignment horizontal="right" vertical="center" wrapText="1"/>
    </xf>
    <xf numFmtId="0" fontId="7" fillId="5" borderId="14" xfId="0" applyFont="1" applyFill="1" applyBorder="1" applyAlignment="1">
      <alignment horizontal="center" vertical="center"/>
    </xf>
    <xf numFmtId="0" fontId="5" fillId="0" borderId="3" xfId="0" applyFont="1" applyBorder="1" applyAlignment="1">
      <alignment vertical="center"/>
    </xf>
    <xf numFmtId="0" fontId="7" fillId="0" borderId="6" xfId="0" applyFont="1" applyBorder="1" applyAlignment="1">
      <alignment horizontal="center" vertical="center"/>
    </xf>
    <xf numFmtId="0" fontId="7" fillId="0" borderId="3" xfId="0" applyFont="1" applyBorder="1" applyAlignment="1">
      <alignment horizontal="center" vertical="center"/>
    </xf>
    <xf numFmtId="0" fontId="7" fillId="0" borderId="3" xfId="0" applyFont="1" applyBorder="1" applyAlignment="1">
      <alignment vertical="center" wrapText="1"/>
    </xf>
    <xf numFmtId="10" fontId="5" fillId="0" borderId="15" xfId="5" applyNumberFormat="1" applyFont="1" applyFill="1" applyBorder="1" applyAlignment="1">
      <alignment horizontal="center" vertical="center"/>
    </xf>
    <xf numFmtId="10" fontId="7" fillId="0" borderId="15" xfId="5" applyNumberFormat="1" applyFont="1" applyFill="1" applyBorder="1" applyAlignment="1">
      <alignment horizontal="center" vertical="center"/>
    </xf>
    <xf numFmtId="169" fontId="7" fillId="0" borderId="15" xfId="5" applyNumberFormat="1" applyFont="1" applyBorder="1" applyAlignment="1">
      <alignment horizontal="center"/>
    </xf>
    <xf numFmtId="4" fontId="7" fillId="0" borderId="16" xfId="0" applyNumberFormat="1" applyFont="1" applyBorder="1"/>
    <xf numFmtId="4" fontId="7" fillId="0" borderId="6" xfId="0" applyNumberFormat="1" applyFont="1" applyBorder="1"/>
    <xf numFmtId="164" fontId="7" fillId="0" borderId="17" xfId="8" applyFont="1" applyFill="1" applyBorder="1" applyAlignment="1">
      <alignment horizontal="center"/>
    </xf>
    <xf numFmtId="4" fontId="5" fillId="0" borderId="18" xfId="0" applyNumberFormat="1" applyFont="1" applyBorder="1" applyAlignment="1">
      <alignment vertical="center"/>
    </xf>
    <xf numFmtId="10" fontId="5" fillId="0" borderId="19" xfId="5" applyNumberFormat="1" applyFont="1" applyFill="1" applyBorder="1" applyAlignment="1">
      <alignment horizontal="center" vertical="center"/>
    </xf>
    <xf numFmtId="4" fontId="5" fillId="0" borderId="17" xfId="0" applyNumberFormat="1" applyFont="1" applyBorder="1"/>
    <xf numFmtId="0" fontId="7" fillId="0" borderId="20" xfId="0" applyFont="1" applyBorder="1" applyAlignment="1">
      <alignment horizontal="center"/>
    </xf>
    <xf numFmtId="3" fontId="7" fillId="0" borderId="19" xfId="0" applyNumberFormat="1" applyFont="1" applyBorder="1" applyAlignment="1">
      <alignment horizontal="center"/>
    </xf>
    <xf numFmtId="3" fontId="7" fillId="0" borderId="20" xfId="0" applyNumberFormat="1" applyFont="1" applyBorder="1" applyAlignment="1">
      <alignment horizontal="center"/>
    </xf>
    <xf numFmtId="4" fontId="5" fillId="0" borderId="21" xfId="0" applyNumberFormat="1" applyFont="1" applyBorder="1"/>
    <xf numFmtId="0" fontId="7" fillId="0" borderId="19" xfId="0" applyFont="1" applyBorder="1" applyAlignment="1">
      <alignment wrapText="1"/>
    </xf>
    <xf numFmtId="4" fontId="5" fillId="0" borderId="22" xfId="0" applyNumberFormat="1" applyFont="1" applyBorder="1" applyAlignment="1">
      <alignment vertical="center"/>
    </xf>
    <xf numFmtId="10" fontId="5" fillId="0" borderId="22" xfId="5" applyNumberFormat="1" applyFont="1" applyFill="1" applyBorder="1" applyAlignment="1">
      <alignment horizontal="center" vertical="center"/>
    </xf>
    <xf numFmtId="164" fontId="5" fillId="0" borderId="3" xfId="0" quotePrefix="1" applyNumberFormat="1" applyFont="1" applyBorder="1" applyAlignment="1">
      <alignment horizontal="justify" vertical="center"/>
    </xf>
    <xf numFmtId="4" fontId="5" fillId="0" borderId="6" xfId="0" applyNumberFormat="1" applyFont="1" applyBorder="1" applyAlignment="1">
      <alignment vertical="center"/>
    </xf>
    <xf numFmtId="0" fontId="7" fillId="0" borderId="4" xfId="0" applyFont="1" applyBorder="1" applyAlignment="1">
      <alignment horizontal="center" vertical="center"/>
    </xf>
    <xf numFmtId="3" fontId="7" fillId="0" borderId="15" xfId="0" applyNumberFormat="1" applyFont="1" applyBorder="1" applyAlignment="1">
      <alignment horizontal="center" vertical="center"/>
    </xf>
    <xf numFmtId="3" fontId="7" fillId="0" borderId="4" xfId="0" applyNumberFormat="1" applyFont="1" applyBorder="1" applyAlignment="1">
      <alignment horizontal="center" vertical="center"/>
    </xf>
    <xf numFmtId="4" fontId="5" fillId="0" borderId="16" xfId="0" applyNumberFormat="1" applyFont="1" applyBorder="1" applyAlignment="1">
      <alignment vertical="center"/>
    </xf>
    <xf numFmtId="164" fontId="7" fillId="0" borderId="17" xfId="8" applyFont="1" applyFill="1" applyBorder="1" applyAlignment="1">
      <alignment horizontal="center" vertical="center"/>
    </xf>
    <xf numFmtId="0" fontId="7" fillId="0" borderId="18" xfId="0" applyFont="1" applyBorder="1" applyAlignment="1">
      <alignment vertical="center" wrapText="1"/>
    </xf>
    <xf numFmtId="4" fontId="5" fillId="0" borderId="17" xfId="0" applyNumberFormat="1" applyFont="1" applyBorder="1" applyAlignment="1">
      <alignment vertical="center"/>
    </xf>
    <xf numFmtId="0" fontId="7" fillId="0" borderId="20" xfId="0" applyFont="1" applyBorder="1" applyAlignment="1">
      <alignment horizontal="center" vertical="center"/>
    </xf>
    <xf numFmtId="3" fontId="7" fillId="0" borderId="19" xfId="0" applyNumberFormat="1" applyFont="1" applyBorder="1" applyAlignment="1">
      <alignment horizontal="center" vertical="center"/>
    </xf>
    <xf numFmtId="3" fontId="7" fillId="0" borderId="20" xfId="0" applyNumberFormat="1" applyFont="1" applyBorder="1" applyAlignment="1">
      <alignment horizontal="center" vertical="center"/>
    </xf>
    <xf numFmtId="4" fontId="5" fillId="0" borderId="21" xfId="0" applyNumberFormat="1" applyFont="1" applyBorder="1" applyAlignment="1">
      <alignment vertical="center"/>
    </xf>
    <xf numFmtId="0" fontId="23" fillId="0" borderId="0" xfId="0" applyFont="1" applyAlignment="1">
      <alignment horizontal="right" vertical="center"/>
    </xf>
    <xf numFmtId="0" fontId="15" fillId="0" borderId="0" xfId="0" applyFont="1" applyAlignment="1">
      <alignment vertical="center"/>
    </xf>
    <xf numFmtId="0" fontId="6" fillId="0" borderId="0" xfId="0" applyFont="1" applyAlignment="1">
      <alignment vertical="center"/>
    </xf>
    <xf numFmtId="0" fontId="10" fillId="0" borderId="0" xfId="0" applyFont="1" applyAlignment="1">
      <alignment horizontal="left"/>
    </xf>
    <xf numFmtId="0" fontId="6" fillId="0" borderId="0" xfId="0" applyFont="1"/>
    <xf numFmtId="0" fontId="16" fillId="0" borderId="0" xfId="0" applyFont="1" applyAlignment="1">
      <alignment horizontal="center"/>
    </xf>
    <xf numFmtId="0" fontId="0" fillId="0" borderId="0" xfId="0" applyAlignment="1">
      <alignment vertical="center"/>
    </xf>
    <xf numFmtId="164" fontId="8" fillId="0" borderId="2" xfId="8" applyFont="1" applyFill="1" applyBorder="1" applyAlignment="1">
      <alignment vertical="center"/>
    </xf>
    <xf numFmtId="0" fontId="5" fillId="0" borderId="2" xfId="0" applyFont="1" applyBorder="1" applyAlignment="1">
      <alignment horizontal="center" vertical="center"/>
    </xf>
    <xf numFmtId="4" fontId="8" fillId="0" borderId="2" xfId="0" applyNumberFormat="1" applyFont="1" applyBorder="1" applyAlignment="1">
      <alignment vertical="center"/>
    </xf>
    <xf numFmtId="2" fontId="8" fillId="0" borderId="2" xfId="0" applyNumberFormat="1" applyFont="1" applyBorder="1" applyAlignment="1">
      <alignment horizontal="center" vertical="center"/>
    </xf>
    <xf numFmtId="4" fontId="5" fillId="0" borderId="14" xfId="0" applyNumberFormat="1" applyFont="1" applyBorder="1" applyAlignment="1">
      <alignment vertical="center"/>
    </xf>
    <xf numFmtId="0" fontId="7" fillId="0" borderId="12" xfId="0" applyFont="1" applyBorder="1" applyAlignment="1">
      <alignment horizontal="center" vertical="center"/>
    </xf>
    <xf numFmtId="3" fontId="7" fillId="0" borderId="12" xfId="0" applyNumberFormat="1" applyFont="1" applyBorder="1" applyAlignment="1">
      <alignment horizontal="center" vertical="center"/>
    </xf>
    <xf numFmtId="164" fontId="7" fillId="0" borderId="6" xfId="8" applyFont="1" applyBorder="1" applyAlignment="1">
      <alignment horizontal="center" vertical="center"/>
    </xf>
    <xf numFmtId="4" fontId="7" fillId="0" borderId="6" xfId="0" applyNumberFormat="1" applyFont="1" applyBorder="1" applyAlignment="1">
      <alignment vertical="center"/>
    </xf>
    <xf numFmtId="169" fontId="7" fillId="0" borderId="4" xfId="5" applyNumberFormat="1" applyFont="1" applyBorder="1" applyAlignment="1">
      <alignment horizontal="center" vertical="center"/>
    </xf>
    <xf numFmtId="4" fontId="7" fillId="0" borderId="16" xfId="0" applyNumberFormat="1" applyFont="1" applyBorder="1" applyAlignment="1">
      <alignment vertical="center"/>
    </xf>
    <xf numFmtId="169" fontId="7" fillId="0" borderId="15" xfId="5" applyNumberFormat="1" applyFont="1" applyBorder="1" applyAlignment="1">
      <alignment horizontal="center" vertical="center"/>
    </xf>
    <xf numFmtId="0" fontId="4" fillId="0" borderId="23" xfId="0" applyFont="1" applyBorder="1" applyAlignment="1">
      <alignment horizontal="center" vertical="center" wrapText="1"/>
    </xf>
    <xf numFmtId="0" fontId="3" fillId="0" borderId="23" xfId="0" applyFont="1" applyBorder="1" applyAlignment="1">
      <alignment vertical="center" wrapText="1"/>
    </xf>
    <xf numFmtId="164" fontId="3" fillId="0" borderId="23" xfId="0" applyNumberFormat="1" applyFont="1" applyBorder="1" applyAlignment="1">
      <alignment horizontal="right" vertical="center" wrapText="1"/>
    </xf>
    <xf numFmtId="10" fontId="3" fillId="0" borderId="24" xfId="0" applyNumberFormat="1" applyFont="1" applyBorder="1" applyAlignment="1">
      <alignment horizontal="center" vertical="center"/>
    </xf>
    <xf numFmtId="4" fontId="3" fillId="0" borderId="24" xfId="0" applyNumberFormat="1" applyFont="1" applyBorder="1" applyAlignment="1">
      <alignment horizontal="right" vertical="center" wrapText="1"/>
    </xf>
    <xf numFmtId="4" fontId="3" fillId="0" borderId="25" xfId="0" applyNumberFormat="1" applyFont="1" applyBorder="1" applyAlignment="1">
      <alignment horizontal="right" vertical="center" wrapText="1"/>
    </xf>
    <xf numFmtId="10" fontId="3" fillId="2" borderId="2" xfId="0" applyNumberFormat="1" applyFont="1" applyFill="1" applyBorder="1" applyAlignment="1">
      <alignment horizontal="center" vertical="center"/>
    </xf>
    <xf numFmtId="4" fontId="3" fillId="2" borderId="2" xfId="0" applyNumberFormat="1" applyFont="1" applyFill="1" applyBorder="1" applyAlignment="1">
      <alignment horizontal="right" vertical="center"/>
    </xf>
    <xf numFmtId="0" fontId="13" fillId="0" borderId="0" xfId="0" applyFont="1" applyAlignment="1">
      <alignment vertical="center" wrapText="1"/>
    </xf>
    <xf numFmtId="4" fontId="22" fillId="0" borderId="0" xfId="0" applyNumberFormat="1" applyFont="1" applyAlignment="1">
      <alignment horizontal="center" vertical="center"/>
    </xf>
    <xf numFmtId="166" fontId="22" fillId="0" borderId="0" xfId="3" applyFont="1" applyFill="1" applyBorder="1" applyAlignment="1">
      <alignment horizontal="right" vertical="center"/>
    </xf>
    <xf numFmtId="0" fontId="13" fillId="0" borderId="26" xfId="0" applyFont="1" applyBorder="1" applyAlignment="1">
      <alignment vertical="center" wrapText="1"/>
    </xf>
    <xf numFmtId="4" fontId="22" fillId="0" borderId="26" xfId="0" applyNumberFormat="1" applyFont="1" applyBorder="1" applyAlignment="1">
      <alignment horizontal="center" vertical="center"/>
    </xf>
    <xf numFmtId="0" fontId="12" fillId="0" borderId="0" xfId="0" applyFont="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vertical="center" wrapText="1"/>
    </xf>
    <xf numFmtId="0" fontId="3" fillId="0" borderId="25" xfId="0" applyFont="1" applyBorder="1" applyAlignment="1">
      <alignment vertical="center"/>
    </xf>
    <xf numFmtId="164" fontId="7" fillId="0" borderId="3" xfId="8" applyFont="1" applyFill="1" applyBorder="1" applyAlignment="1">
      <alignment horizontal="right" vertical="center"/>
    </xf>
    <xf numFmtId="164" fontId="7" fillId="0" borderId="15" xfId="8" applyFont="1" applyFill="1" applyBorder="1" applyAlignment="1">
      <alignment horizontal="right"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3" fillId="0" borderId="29" xfId="0" applyFont="1" applyBorder="1" applyAlignment="1">
      <alignment vertical="center"/>
    </xf>
    <xf numFmtId="0" fontId="4" fillId="0" borderId="23" xfId="0" quotePrefix="1" applyFont="1" applyBorder="1" applyAlignment="1">
      <alignment vertical="center" wrapText="1"/>
    </xf>
    <xf numFmtId="0" fontId="23" fillId="0" borderId="24" xfId="0" applyFont="1" applyBorder="1" applyAlignment="1">
      <alignment vertical="center" wrapText="1"/>
    </xf>
    <xf numFmtId="0" fontId="3" fillId="0" borderId="30" xfId="0" applyFont="1" applyBorder="1" applyAlignment="1">
      <alignment vertical="center"/>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8" fillId="0" borderId="32" xfId="0" applyFont="1" applyBorder="1" applyAlignment="1">
      <alignment vertical="center"/>
    </xf>
    <xf numFmtId="0" fontId="6" fillId="0" borderId="34" xfId="0" applyFont="1" applyBorder="1" applyAlignment="1">
      <alignment horizontal="left" vertical="center"/>
    </xf>
    <xf numFmtId="0" fontId="6" fillId="0" borderId="0" xfId="0" applyFont="1" applyAlignment="1">
      <alignment horizontal="left" vertical="center"/>
    </xf>
    <xf numFmtId="0" fontId="8" fillId="0" borderId="34" xfId="0" applyFont="1" applyBorder="1" applyAlignment="1">
      <alignment horizontal="left" vertical="center"/>
    </xf>
    <xf numFmtId="164" fontId="13" fillId="0" borderId="34" xfId="0" applyNumberFormat="1" applyFont="1" applyBorder="1" applyAlignment="1">
      <alignment horizontal="left" vertical="center"/>
    </xf>
    <xf numFmtId="0" fontId="6" fillId="0" borderId="34" xfId="0" applyFont="1" applyBorder="1" applyAlignment="1">
      <alignment horizontal="center" vertical="center"/>
    </xf>
    <xf numFmtId="0" fontId="6" fillId="0" borderId="36" xfId="0"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wrapText="1"/>
    </xf>
    <xf numFmtId="0" fontId="8" fillId="0" borderId="0" xfId="0" applyFont="1" applyAlignment="1">
      <alignment horizontal="center" vertical="center" wrapText="1"/>
    </xf>
    <xf numFmtId="0" fontId="8" fillId="0" borderId="0" xfId="0" quotePrefix="1" applyFont="1" applyAlignment="1">
      <alignment horizontal="right" vertical="center"/>
    </xf>
    <xf numFmtId="4" fontId="8" fillId="0" borderId="0" xfId="0" applyNumberFormat="1" applyFont="1" applyAlignment="1">
      <alignment horizontal="left" vertical="center"/>
    </xf>
    <xf numFmtId="0" fontId="8" fillId="0" borderId="0" xfId="0" applyFont="1" applyAlignment="1">
      <alignment horizontal="right" vertical="center"/>
    </xf>
    <xf numFmtId="14" fontId="23" fillId="0" borderId="0" xfId="0" applyNumberFormat="1" applyFont="1" applyAlignment="1">
      <alignment horizontal="center" vertical="center"/>
    </xf>
    <xf numFmtId="0" fontId="6" fillId="0" borderId="33" xfId="0" applyFont="1" applyBorder="1" applyAlignment="1">
      <alignment vertical="center" wrapText="1"/>
    </xf>
    <xf numFmtId="0" fontId="6" fillId="0" borderId="37" xfId="0" applyFont="1" applyBorder="1" applyAlignment="1">
      <alignment vertical="center" wrapText="1"/>
    </xf>
    <xf numFmtId="164" fontId="7" fillId="0" borderId="14" xfId="8" applyFont="1" applyFill="1" applyBorder="1" applyAlignment="1">
      <alignment horizontal="center" vertical="center"/>
    </xf>
    <xf numFmtId="164" fontId="7" fillId="0" borderId="38" xfId="8" applyFont="1" applyFill="1" applyBorder="1" applyAlignment="1">
      <alignment horizontal="center" vertical="center"/>
    </xf>
    <xf numFmtId="164" fontId="7" fillId="0" borderId="38" xfId="8" applyFont="1" applyFill="1" applyBorder="1" applyAlignment="1">
      <alignment horizontal="justify" vertical="center"/>
    </xf>
    <xf numFmtId="164" fontId="5" fillId="0" borderId="38" xfId="8" quotePrefix="1" applyFont="1" applyFill="1" applyBorder="1" applyAlignment="1">
      <alignment horizontal="center" vertical="center"/>
    </xf>
    <xf numFmtId="164" fontId="5" fillId="0" borderId="38" xfId="8" applyFont="1" applyFill="1" applyBorder="1" applyAlignment="1">
      <alignment horizontal="center" vertical="center"/>
    </xf>
    <xf numFmtId="164" fontId="19" fillId="0" borderId="0" xfId="0" applyNumberFormat="1" applyFont="1"/>
    <xf numFmtId="164" fontId="5" fillId="0" borderId="4" xfId="8" applyFont="1" applyFill="1" applyBorder="1" applyAlignment="1">
      <alignment vertical="center" wrapText="1"/>
    </xf>
    <xf numFmtId="164" fontId="5" fillId="0" borderId="39" xfId="8" applyFont="1" applyFill="1" applyBorder="1" applyAlignment="1">
      <alignment horizontal="right" vertical="center"/>
    </xf>
    <xf numFmtId="164" fontId="5" fillId="0" borderId="40" xfId="8" applyFont="1" applyFill="1" applyBorder="1" applyAlignment="1">
      <alignment horizontal="right" vertical="center"/>
    </xf>
    <xf numFmtId="10" fontId="7" fillId="0" borderId="16" xfId="8" applyNumberFormat="1" applyFont="1" applyFill="1" applyBorder="1" applyAlignment="1">
      <alignment vertical="center" wrapText="1"/>
    </xf>
    <xf numFmtId="164" fontId="7" fillId="0" borderId="3" xfId="8" applyFont="1" applyFill="1" applyBorder="1" applyAlignment="1">
      <alignment vertical="center" wrapText="1"/>
    </xf>
    <xf numFmtId="10" fontId="7" fillId="0" borderId="6" xfId="8" applyNumberFormat="1" applyFont="1" applyFill="1" applyBorder="1" applyAlignment="1">
      <alignment vertical="center" wrapText="1"/>
    </xf>
    <xf numFmtId="164" fontId="7" fillId="0" borderId="15" xfId="8" applyFont="1" applyFill="1" applyBorder="1" applyAlignment="1">
      <alignment vertical="center" wrapText="1"/>
    </xf>
    <xf numFmtId="164" fontId="7" fillId="0" borderId="4" xfId="8" applyFont="1" applyFill="1" applyBorder="1" applyAlignment="1">
      <alignment vertical="center" wrapText="1"/>
    </xf>
    <xf numFmtId="10" fontId="7" fillId="0" borderId="6" xfId="5" applyNumberFormat="1" applyFont="1" applyFill="1" applyBorder="1" applyAlignment="1">
      <alignment vertical="center" wrapText="1"/>
    </xf>
    <xf numFmtId="164" fontId="7" fillId="0" borderId="16" xfId="8" applyFont="1" applyFill="1" applyBorder="1" applyAlignment="1">
      <alignment vertical="center" wrapText="1"/>
    </xf>
    <xf numFmtId="164" fontId="7" fillId="0" borderId="6" xfId="8" applyFont="1" applyFill="1" applyBorder="1" applyAlignment="1">
      <alignment vertical="center" wrapText="1"/>
    </xf>
    <xf numFmtId="164" fontId="5" fillId="0" borderId="15" xfId="8" applyFont="1" applyFill="1" applyBorder="1" applyAlignment="1">
      <alignment vertical="center" wrapText="1"/>
    </xf>
    <xf numFmtId="10" fontId="5" fillId="0" borderId="6" xfId="8" applyNumberFormat="1" applyFont="1" applyFill="1" applyBorder="1" applyAlignment="1">
      <alignment vertical="center" wrapText="1"/>
    </xf>
    <xf numFmtId="0" fontId="24" fillId="0" borderId="0" xfId="0" applyFont="1"/>
    <xf numFmtId="0" fontId="5" fillId="0" borderId="0" xfId="0" applyFont="1" applyAlignment="1">
      <alignment wrapText="1"/>
    </xf>
    <xf numFmtId="0" fontId="25" fillId="0" borderId="0" xfId="0" applyFont="1"/>
    <xf numFmtId="0" fontId="23" fillId="0" borderId="0" xfId="0" applyFont="1" applyAlignment="1">
      <alignment vertical="center"/>
    </xf>
    <xf numFmtId="4" fontId="3" fillId="3" borderId="25" xfId="0" applyNumberFormat="1" applyFont="1" applyFill="1" applyBorder="1" applyAlignment="1">
      <alignment horizontal="right" vertical="center" wrapText="1"/>
    </xf>
    <xf numFmtId="0" fontId="4" fillId="0" borderId="2" xfId="0" applyFont="1" applyBorder="1" applyAlignment="1">
      <alignment horizontal="right" vertical="center"/>
    </xf>
    <xf numFmtId="10" fontId="4" fillId="0" borderId="2" xfId="0" applyNumberFormat="1" applyFont="1" applyBorder="1" applyAlignment="1">
      <alignment horizontal="center" vertical="center"/>
    </xf>
    <xf numFmtId="165" fontId="8" fillId="0" borderId="0" xfId="0" applyNumberFormat="1" applyFont="1" applyAlignment="1">
      <alignment horizontal="center" vertical="center"/>
    </xf>
    <xf numFmtId="165" fontId="8" fillId="3" borderId="0" xfId="0" applyNumberFormat="1" applyFont="1" applyFill="1" applyAlignment="1">
      <alignment horizontal="center" vertical="center"/>
    </xf>
    <xf numFmtId="165" fontId="4" fillId="0" borderId="2" xfId="0" applyNumberFormat="1" applyFont="1" applyBorder="1" applyAlignment="1">
      <alignment horizontal="center" vertical="center"/>
    </xf>
    <xf numFmtId="0" fontId="4" fillId="0" borderId="0" xfId="0" applyFont="1" applyAlignment="1">
      <alignment horizontal="right" vertical="center"/>
    </xf>
    <xf numFmtId="0" fontId="18" fillId="0" borderId="0" xfId="0" applyFont="1" applyAlignment="1">
      <alignment vertical="center" wrapText="1"/>
    </xf>
    <xf numFmtId="0" fontId="7" fillId="0" borderId="14" xfId="0" applyFont="1" applyBorder="1" applyAlignment="1" applyProtection="1">
      <alignment horizontal="center" vertical="center"/>
      <protection locked="0"/>
    </xf>
    <xf numFmtId="0" fontId="7" fillId="0" borderId="38" xfId="0" applyFont="1" applyBorder="1" applyAlignment="1">
      <alignment horizontal="justify" vertical="center"/>
    </xf>
    <xf numFmtId="164" fontId="5" fillId="0" borderId="3" xfId="8" applyFont="1" applyBorder="1" applyAlignment="1" applyProtection="1">
      <alignment horizontal="center" vertical="center"/>
      <protection locked="0"/>
    </xf>
    <xf numFmtId="0" fontId="7" fillId="0" borderId="3" xfId="0" applyFont="1" applyBorder="1" applyAlignment="1">
      <alignment horizontal="justify" vertical="center"/>
    </xf>
    <xf numFmtId="10" fontId="13" fillId="3" borderId="0" xfId="5" applyNumberFormat="1" applyFont="1" applyFill="1" applyBorder="1" applyAlignment="1">
      <alignment horizontal="center"/>
    </xf>
    <xf numFmtId="0" fontId="5" fillId="0" borderId="0" xfId="0" applyFont="1" applyAlignment="1">
      <alignment horizontal="center" vertical="center"/>
    </xf>
    <xf numFmtId="164" fontId="8" fillId="0" borderId="34" xfId="0" applyNumberFormat="1" applyFont="1" applyBorder="1" applyAlignment="1">
      <alignment horizontal="left" vertical="center"/>
    </xf>
    <xf numFmtId="10" fontId="8" fillId="0" borderId="0" xfId="5" applyNumberFormat="1" applyFont="1" applyFill="1" applyBorder="1" applyAlignment="1">
      <alignment horizontal="center"/>
    </xf>
    <xf numFmtId="0" fontId="5" fillId="0" borderId="8" xfId="0" applyFont="1" applyBorder="1" applyAlignment="1">
      <alignment horizontal="center" vertical="center"/>
    </xf>
    <xf numFmtId="164" fontId="7" fillId="2" borderId="41" xfId="8" applyFont="1" applyFill="1" applyBorder="1" applyAlignment="1">
      <alignment horizontal="right" vertical="center" wrapText="1"/>
    </xf>
    <xf numFmtId="164" fontId="7" fillId="2" borderId="8" xfId="8" applyFont="1" applyFill="1" applyBorder="1" applyAlignment="1">
      <alignment horizontal="right" vertical="center" wrapText="1"/>
    </xf>
    <xf numFmtId="164" fontId="7" fillId="2" borderId="42" xfId="8" applyFont="1" applyFill="1" applyBorder="1" applyAlignment="1">
      <alignment horizontal="right" vertical="center" wrapText="1"/>
    </xf>
    <xf numFmtId="0" fontId="22" fillId="3" borderId="0" xfId="0" applyFont="1" applyFill="1"/>
    <xf numFmtId="164" fontId="5" fillId="5" borderId="3" xfId="8" applyFont="1" applyFill="1" applyBorder="1" applyAlignment="1">
      <alignment horizontal="center" vertical="center"/>
    </xf>
    <xf numFmtId="164" fontId="8" fillId="0" borderId="39" xfId="8" applyFont="1" applyFill="1" applyBorder="1" applyAlignment="1">
      <alignment horizontal="right" vertical="center"/>
    </xf>
    <xf numFmtId="164" fontId="8" fillId="0" borderId="40" xfId="8" applyFont="1" applyFill="1" applyBorder="1" applyAlignment="1">
      <alignment horizontal="right" vertical="center"/>
    </xf>
    <xf numFmtId="164" fontId="6" fillId="2" borderId="44" xfId="0" applyNumberFormat="1" applyFont="1" applyFill="1" applyBorder="1"/>
    <xf numFmtId="0" fontId="8" fillId="5" borderId="0" xfId="0" applyFont="1" applyFill="1"/>
    <xf numFmtId="164" fontId="5" fillId="5" borderId="38" xfId="8" applyFont="1" applyFill="1" applyBorder="1" applyAlignment="1">
      <alignment horizontal="center" vertical="center"/>
    </xf>
    <xf numFmtId="0" fontId="11" fillId="0" borderId="10" xfId="0" applyFont="1" applyBorder="1" applyAlignment="1">
      <alignment horizontal="left" wrapText="1"/>
    </xf>
    <xf numFmtId="0" fontId="11" fillId="5" borderId="10" xfId="0" applyFont="1" applyFill="1" applyBorder="1" applyAlignment="1">
      <alignment horizontal="center"/>
    </xf>
    <xf numFmtId="0" fontId="11" fillId="5" borderId="10" xfId="0" applyFont="1" applyFill="1" applyBorder="1" applyAlignment="1">
      <alignment horizontal="left"/>
    </xf>
    <xf numFmtId="0" fontId="11" fillId="5" borderId="10" xfId="0" applyFont="1" applyFill="1" applyBorder="1" applyAlignment="1">
      <alignment wrapText="1"/>
    </xf>
    <xf numFmtId="2" fontId="11" fillId="5" borderId="10" xfId="0" applyNumberFormat="1" applyFont="1" applyFill="1" applyBorder="1"/>
    <xf numFmtId="0" fontId="11" fillId="5" borderId="0" xfId="0" applyFont="1" applyFill="1"/>
    <xf numFmtId="0" fontId="6" fillId="5" borderId="2" xfId="0" applyFont="1" applyFill="1" applyBorder="1" applyAlignment="1">
      <alignment horizontal="center" vertical="center" wrapText="1"/>
    </xf>
    <xf numFmtId="164" fontId="7" fillId="5" borderId="3" xfId="8" applyFont="1" applyFill="1" applyBorder="1" applyAlignment="1">
      <alignment horizontal="center" vertical="center" wrapText="1"/>
    </xf>
    <xf numFmtId="164" fontId="5" fillId="5" borderId="3" xfId="8" applyFont="1" applyFill="1" applyBorder="1" applyAlignment="1">
      <alignment horizontal="center" vertical="center" wrapText="1"/>
    </xf>
    <xf numFmtId="164" fontId="5" fillId="5" borderId="3" xfId="8" applyFont="1" applyFill="1" applyBorder="1" applyAlignment="1">
      <alignment vertical="center"/>
    </xf>
    <xf numFmtId="164" fontId="5" fillId="5" borderId="3" xfId="8" quotePrefix="1" applyFont="1" applyFill="1" applyBorder="1" applyAlignment="1">
      <alignment horizontal="center" vertical="center"/>
    </xf>
    <xf numFmtId="164" fontId="5" fillId="5" borderId="3" xfId="8" applyFont="1" applyFill="1" applyBorder="1" applyAlignment="1">
      <alignment horizontal="right" vertical="center" wrapText="1"/>
    </xf>
    <xf numFmtId="4" fontId="5" fillId="5" borderId="3" xfId="0" applyNumberFormat="1" applyFont="1" applyFill="1" applyBorder="1" applyAlignment="1">
      <alignment horizontal="right" vertical="center" wrapText="1"/>
    </xf>
    <xf numFmtId="0" fontId="12" fillId="5" borderId="0" xfId="0" applyFont="1" applyFill="1"/>
    <xf numFmtId="0" fontId="11" fillId="5" borderId="0" xfId="0" applyFont="1" applyFill="1" applyAlignment="1">
      <alignment horizontal="center"/>
    </xf>
    <xf numFmtId="0" fontId="11" fillId="5" borderId="0" xfId="0" applyFont="1" applyFill="1" applyAlignment="1">
      <alignment horizontal="left"/>
    </xf>
    <xf numFmtId="0" fontId="11" fillId="0" borderId="10" xfId="0" applyFont="1" applyBorder="1" applyAlignment="1">
      <alignment horizontal="left" vertical="center"/>
    </xf>
    <xf numFmtId="2" fontId="11" fillId="0" borderId="10" xfId="0" applyNumberFormat="1" applyFont="1" applyBorder="1" applyAlignment="1">
      <alignment vertical="center"/>
    </xf>
    <xf numFmtId="168" fontId="11" fillId="0" borderId="0" xfId="0" applyNumberFormat="1" applyFont="1" applyAlignment="1">
      <alignment vertical="center"/>
    </xf>
    <xf numFmtId="0" fontId="11" fillId="0" borderId="0" xfId="0" applyFont="1" applyAlignment="1">
      <alignment vertical="center"/>
    </xf>
    <xf numFmtId="0" fontId="10" fillId="0" borderId="10" xfId="0" applyFont="1" applyBorder="1" applyAlignment="1">
      <alignment vertical="center" wrapText="1"/>
    </xf>
    <xf numFmtId="0" fontId="10" fillId="0" borderId="10" xfId="0" applyFont="1" applyBorder="1" applyAlignment="1">
      <alignment wrapText="1"/>
    </xf>
    <xf numFmtId="0" fontId="11" fillId="0" borderId="10" xfId="0" applyFont="1" applyBorder="1" applyAlignment="1">
      <alignment vertical="center"/>
    </xf>
    <xf numFmtId="164" fontId="7" fillId="5" borderId="6" xfId="8" applyFont="1" applyFill="1" applyBorder="1" applyAlignment="1">
      <alignment horizontal="center" vertical="center"/>
    </xf>
    <xf numFmtId="164" fontId="5" fillId="5" borderId="3" xfId="8" quotePrefix="1" applyFont="1" applyFill="1" applyBorder="1" applyAlignment="1">
      <alignment horizontal="justify" vertical="center"/>
    </xf>
    <xf numFmtId="0" fontId="11" fillId="5" borderId="10" xfId="0" applyFont="1" applyFill="1" applyBorder="1" applyAlignment="1">
      <alignment horizontal="center" vertical="center"/>
    </xf>
    <xf numFmtId="0" fontId="11" fillId="5" borderId="10" xfId="0" applyFont="1" applyFill="1" applyBorder="1" applyAlignment="1">
      <alignment horizontal="left" vertical="center"/>
    </xf>
    <xf numFmtId="0" fontId="11" fillId="5" borderId="10" xfId="0" applyFont="1" applyFill="1" applyBorder="1" applyAlignment="1">
      <alignment vertical="center" wrapText="1"/>
    </xf>
    <xf numFmtId="2" fontId="11" fillId="5" borderId="10" xfId="0" applyNumberFormat="1" applyFont="1" applyFill="1" applyBorder="1" applyAlignment="1">
      <alignment vertical="center"/>
    </xf>
    <xf numFmtId="0" fontId="10" fillId="5" borderId="10" xfId="0" applyFont="1" applyFill="1" applyBorder="1" applyAlignment="1">
      <alignment vertical="center" wrapText="1"/>
    </xf>
    <xf numFmtId="0" fontId="11" fillId="5" borderId="10" xfId="0" applyFont="1" applyFill="1" applyBorder="1" applyAlignment="1">
      <alignment horizontal="left" vertical="center" wrapText="1"/>
    </xf>
    <xf numFmtId="168" fontId="11" fillId="5" borderId="0" xfId="0" applyNumberFormat="1" applyFont="1" applyFill="1"/>
    <xf numFmtId="164" fontId="5" fillId="5" borderId="6" xfId="8" applyFont="1" applyFill="1" applyBorder="1" applyAlignment="1">
      <alignment horizontal="center" vertical="center"/>
    </xf>
    <xf numFmtId="0" fontId="5" fillId="5" borderId="3" xfId="0" quotePrefix="1" applyFont="1" applyFill="1" applyBorder="1" applyAlignment="1">
      <alignment vertical="center" wrapText="1"/>
    </xf>
    <xf numFmtId="0" fontId="11" fillId="0" borderId="10" xfId="0" applyFont="1" applyBorder="1" applyAlignment="1">
      <alignment vertical="center" wrapText="1"/>
    </xf>
    <xf numFmtId="0" fontId="11" fillId="3" borderId="10" xfId="0" applyFont="1" applyFill="1" applyBorder="1"/>
    <xf numFmtId="0" fontId="20" fillId="0" borderId="0" xfId="0" applyFont="1" applyAlignment="1">
      <alignment horizontal="center"/>
    </xf>
    <xf numFmtId="164" fontId="5" fillId="0" borderId="3" xfId="8" quotePrefix="1" applyFont="1" applyFill="1" applyBorder="1" applyAlignment="1">
      <alignment horizontal="justify" vertical="center"/>
    </xf>
    <xf numFmtId="0" fontId="11" fillId="5" borderId="10" xfId="0" applyFont="1" applyFill="1" applyBorder="1" applyAlignment="1">
      <alignment horizontal="left" wrapText="1"/>
    </xf>
    <xf numFmtId="4" fontId="5" fillId="0" borderId="38" xfId="0" applyNumberFormat="1" applyFont="1" applyBorder="1" applyAlignment="1">
      <alignment horizontal="right" vertical="center"/>
    </xf>
    <xf numFmtId="164" fontId="5" fillId="0" borderId="3" xfId="8" applyFont="1" applyFill="1" applyBorder="1" applyAlignment="1">
      <alignment horizontal="right" vertical="center"/>
    </xf>
    <xf numFmtId="0" fontId="7" fillId="0" borderId="38" xfId="0" applyFont="1" applyBorder="1" applyAlignment="1">
      <alignment horizontal="center" vertical="center"/>
    </xf>
    <xf numFmtId="0" fontId="7" fillId="0" borderId="38" xfId="0" quotePrefix="1" applyFont="1" applyBorder="1" applyAlignment="1">
      <alignment horizontal="center" vertical="center"/>
    </xf>
    <xf numFmtId="164" fontId="7" fillId="0" borderId="3" xfId="8" applyFont="1" applyFill="1" applyBorder="1" applyAlignment="1">
      <alignment horizontal="center" vertical="center"/>
    </xf>
    <xf numFmtId="164" fontId="5" fillId="0" borderId="38" xfId="8" applyFont="1" applyFill="1" applyBorder="1" applyAlignment="1">
      <alignment horizontal="right" vertical="center"/>
    </xf>
    <xf numFmtId="164" fontId="7" fillId="0" borderId="3" xfId="8" applyFont="1" applyBorder="1" applyAlignment="1">
      <alignment horizontal="right" vertical="center" wrapText="1"/>
    </xf>
    <xf numFmtId="10" fontId="10" fillId="0" borderId="16" xfId="8" applyNumberFormat="1" applyFont="1" applyFill="1" applyBorder="1" applyAlignment="1">
      <alignment vertical="center" wrapText="1"/>
    </xf>
    <xf numFmtId="164" fontId="11" fillId="0" borderId="3" xfId="8" applyFont="1" applyFill="1" applyBorder="1" applyAlignment="1">
      <alignment vertical="center" wrapText="1"/>
    </xf>
    <xf numFmtId="164" fontId="10" fillId="0" borderId="3" xfId="8" applyFont="1" applyFill="1" applyBorder="1" applyAlignment="1">
      <alignment vertical="center" wrapText="1"/>
    </xf>
    <xf numFmtId="10" fontId="10" fillId="0" borderId="6" xfId="8" applyNumberFormat="1" applyFont="1" applyFill="1" applyBorder="1" applyAlignment="1">
      <alignment vertical="center" wrapText="1"/>
    </xf>
    <xf numFmtId="164" fontId="10" fillId="0" borderId="15" xfId="8" applyFont="1" applyFill="1" applyBorder="1" applyAlignment="1">
      <alignment vertical="center" wrapText="1"/>
    </xf>
    <xf numFmtId="164" fontId="10" fillId="0" borderId="4" xfId="8" applyFont="1" applyFill="1" applyBorder="1" applyAlignment="1">
      <alignment vertical="center" wrapText="1"/>
    </xf>
    <xf numFmtId="10" fontId="10" fillId="0" borderId="6" xfId="5" applyNumberFormat="1" applyFont="1" applyFill="1" applyBorder="1" applyAlignment="1">
      <alignment vertical="center" wrapText="1"/>
    </xf>
    <xf numFmtId="164" fontId="10" fillId="0" borderId="16" xfId="8" applyFont="1" applyFill="1" applyBorder="1" applyAlignment="1">
      <alignment vertical="center" wrapText="1"/>
    </xf>
    <xf numFmtId="164" fontId="10" fillId="0" borderId="6" xfId="8" applyFont="1" applyFill="1" applyBorder="1" applyAlignment="1">
      <alignment vertical="center" wrapText="1"/>
    </xf>
    <xf numFmtId="164" fontId="11" fillId="0" borderId="15" xfId="8" applyFont="1" applyFill="1" applyBorder="1" applyAlignment="1">
      <alignment vertical="center" wrapText="1"/>
    </xf>
    <xf numFmtId="164" fontId="11" fillId="0" borderId="4" xfId="8" applyFont="1" applyFill="1" applyBorder="1" applyAlignment="1">
      <alignment vertical="center" wrapText="1"/>
    </xf>
    <xf numFmtId="10" fontId="11" fillId="0" borderId="6" xfId="8" applyNumberFormat="1" applyFont="1" applyFill="1" applyBorder="1" applyAlignment="1">
      <alignment vertical="center" wrapText="1"/>
    </xf>
    <xf numFmtId="0" fontId="11" fillId="6" borderId="10" xfId="0" applyFont="1" applyFill="1" applyBorder="1" applyAlignment="1">
      <alignment horizontal="center"/>
    </xf>
    <xf numFmtId="0" fontId="11" fillId="6" borderId="10" xfId="0" applyFont="1" applyFill="1" applyBorder="1" applyAlignment="1">
      <alignment horizontal="left"/>
    </xf>
    <xf numFmtId="0" fontId="11" fillId="6" borderId="10" xfId="0" applyFont="1" applyFill="1" applyBorder="1" applyAlignment="1">
      <alignment wrapText="1"/>
    </xf>
    <xf numFmtId="2" fontId="11" fillId="6" borderId="10" xfId="0" applyNumberFormat="1" applyFont="1" applyFill="1" applyBorder="1"/>
    <xf numFmtId="0" fontId="11" fillId="6" borderId="10" xfId="0" applyFont="1" applyFill="1" applyBorder="1"/>
    <xf numFmtId="0" fontId="11" fillId="2" borderId="43" xfId="0" applyFont="1" applyFill="1" applyBorder="1" applyAlignment="1">
      <alignment horizontal="center"/>
    </xf>
    <xf numFmtId="168" fontId="11" fillId="4" borderId="0" xfId="0" applyNumberFormat="1" applyFont="1" applyFill="1"/>
    <xf numFmtId="0" fontId="11" fillId="2" borderId="0" xfId="0" applyFont="1" applyFill="1" applyAlignment="1">
      <alignment horizontal="center"/>
    </xf>
    <xf numFmtId="0" fontId="11" fillId="4" borderId="0" xfId="0" applyFont="1" applyFill="1" applyAlignment="1">
      <alignment horizontal="left"/>
    </xf>
    <xf numFmtId="0" fontId="11" fillId="6" borderId="10" xfId="0" quotePrefix="1" applyFont="1" applyFill="1" applyBorder="1" applyAlignment="1">
      <alignment horizontal="center" vertical="center"/>
    </xf>
    <xf numFmtId="0" fontId="11" fillId="6" borderId="10" xfId="0" applyFont="1" applyFill="1" applyBorder="1" applyAlignment="1">
      <alignment horizontal="center" vertical="center"/>
    </xf>
    <xf numFmtId="3" fontId="7" fillId="0" borderId="45" xfId="0" applyNumberFormat="1" applyFont="1" applyBorder="1" applyAlignment="1">
      <alignment horizontal="center" vertical="center"/>
    </xf>
    <xf numFmtId="4" fontId="5" fillId="0" borderId="46" xfId="0" applyNumberFormat="1" applyFont="1" applyBorder="1" applyAlignment="1">
      <alignment vertical="center"/>
    </xf>
    <xf numFmtId="164" fontId="7" fillId="0" borderId="4" xfId="0" applyNumberFormat="1" applyFont="1" applyBorder="1" applyAlignment="1">
      <alignment horizontal="right" vertical="center"/>
    </xf>
    <xf numFmtId="164" fontId="7" fillId="2" borderId="41" xfId="0" applyNumberFormat="1" applyFont="1" applyFill="1" applyBorder="1"/>
    <xf numFmtId="0" fontId="7" fillId="0" borderId="14" xfId="0" applyFont="1" applyBorder="1" applyAlignment="1">
      <alignment horizontal="center" vertical="center"/>
    </xf>
    <xf numFmtId="0" fontId="7" fillId="0" borderId="38" xfId="0" applyFont="1" applyBorder="1" applyAlignment="1">
      <alignment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xf>
    <xf numFmtId="2" fontId="5" fillId="0" borderId="3" xfId="0" applyNumberFormat="1" applyFont="1" applyBorder="1" applyAlignment="1">
      <alignment vertical="center" wrapText="1"/>
    </xf>
    <xf numFmtId="2" fontId="5" fillId="0" borderId="3" xfId="0" applyNumberFormat="1" applyFont="1" applyBorder="1" applyAlignment="1">
      <alignment vertical="center"/>
    </xf>
    <xf numFmtId="0" fontId="5" fillId="0" borderId="3" xfId="0" applyFont="1" applyBorder="1" applyAlignment="1">
      <alignment horizontal="left" vertical="center" wrapText="1"/>
    </xf>
    <xf numFmtId="0" fontId="5" fillId="0" borderId="3" xfId="0" quotePrefix="1" applyFont="1" applyBorder="1" applyAlignment="1">
      <alignment horizontal="right" vertical="center"/>
    </xf>
    <xf numFmtId="0" fontId="5" fillId="0" borderId="3" xfId="0" applyFont="1" applyBorder="1" applyAlignment="1">
      <alignment horizontal="right" vertical="center"/>
    </xf>
    <xf numFmtId="0" fontId="5" fillId="0" borderId="7" xfId="0" applyFont="1" applyBorder="1" applyAlignment="1">
      <alignment horizontal="left" vertical="center"/>
    </xf>
    <xf numFmtId="17" fontId="5" fillId="0" borderId="8" xfId="0" applyNumberFormat="1" applyFont="1" applyBorder="1" applyAlignment="1">
      <alignment horizontal="center" vertical="center"/>
    </xf>
    <xf numFmtId="10" fontId="19" fillId="0" borderId="0" xfId="0" applyNumberFormat="1" applyFont="1"/>
    <xf numFmtId="0" fontId="5" fillId="0" borderId="10" xfId="0" applyFont="1" applyBorder="1"/>
    <xf numFmtId="164" fontId="5" fillId="0" borderId="10" xfId="0" applyNumberFormat="1" applyFont="1" applyBorder="1"/>
    <xf numFmtId="164" fontId="5" fillId="0" borderId="0" xfId="0" applyNumberFormat="1" applyFont="1"/>
    <xf numFmtId="9" fontId="25" fillId="0" borderId="10" xfId="0" applyNumberFormat="1" applyFont="1" applyBorder="1" applyAlignment="1">
      <alignment horizontal="center"/>
    </xf>
    <xf numFmtId="0" fontId="13" fillId="0" borderId="0" xfId="0" applyFont="1"/>
    <xf numFmtId="0" fontId="5" fillId="0" borderId="16" xfId="0" quotePrefix="1" applyFont="1" applyBorder="1" applyAlignment="1">
      <alignment horizontal="center" vertical="center"/>
    </xf>
    <xf numFmtId="39" fontId="5" fillId="0" borderId="3" xfId="0" quotePrefix="1" applyNumberFormat="1" applyFont="1" applyBorder="1" applyAlignment="1">
      <alignment horizontal="right" vertical="center"/>
    </xf>
    <xf numFmtId="0" fontId="5" fillId="5" borderId="3" xfId="0" quotePrefix="1" applyFont="1" applyFill="1" applyBorder="1" applyAlignment="1">
      <alignment horizontal="justify" vertical="center" wrapText="1"/>
    </xf>
    <xf numFmtId="167" fontId="5" fillId="7" borderId="3" xfId="0" applyNumberFormat="1" applyFont="1" applyFill="1" applyBorder="1" applyAlignment="1">
      <alignment horizontal="center" vertical="center" wrapText="1"/>
    </xf>
    <xf numFmtId="167" fontId="5" fillId="0" borderId="3" xfId="0" applyNumberFormat="1" applyFont="1" applyBorder="1" applyAlignment="1">
      <alignment horizontal="center" vertical="center" wrapText="1"/>
    </xf>
    <xf numFmtId="0" fontId="11" fillId="0" borderId="10" xfId="0" quotePrefix="1" applyFont="1" applyBorder="1" applyAlignment="1">
      <alignment horizontal="left"/>
    </xf>
    <xf numFmtId="0" fontId="11" fillId="0" borderId="10" xfId="0" quotePrefix="1" applyFont="1" applyBorder="1" applyAlignment="1">
      <alignment wrapText="1"/>
    </xf>
    <xf numFmtId="0" fontId="5" fillId="5" borderId="3" xfId="0" quotePrefix="1" applyFont="1" applyFill="1" applyBorder="1" applyAlignment="1">
      <alignment vertical="center"/>
    </xf>
    <xf numFmtId="164" fontId="5" fillId="7" borderId="3" xfId="8" applyFont="1" applyFill="1" applyBorder="1" applyAlignment="1">
      <alignment horizontal="center" vertical="center"/>
    </xf>
    <xf numFmtId="0" fontId="5" fillId="7" borderId="3" xfId="0" applyFont="1" applyFill="1" applyBorder="1" applyAlignment="1">
      <alignment vertical="center"/>
    </xf>
    <xf numFmtId="2" fontId="5" fillId="7" borderId="3" xfId="0" applyNumberFormat="1" applyFont="1" applyFill="1" applyBorder="1" applyAlignment="1">
      <alignment vertical="center"/>
    </xf>
    <xf numFmtId="0" fontId="5" fillId="0" borderId="3" xfId="0" quotePrefix="1" applyFont="1" applyBorder="1" applyAlignment="1">
      <alignment horizontal="left" wrapText="1"/>
    </xf>
    <xf numFmtId="0" fontId="5" fillId="0" borderId="0" xfId="0" quotePrefix="1" applyFont="1" applyAlignment="1">
      <alignment horizontal="justify" vertical="center" wrapText="1"/>
    </xf>
    <xf numFmtId="4" fontId="5" fillId="7" borderId="3" xfId="0" applyNumberFormat="1" applyFont="1" applyFill="1" applyBorder="1" applyAlignment="1">
      <alignment vertical="center"/>
    </xf>
    <xf numFmtId="164" fontId="5" fillId="7" borderId="3" xfId="0" applyNumberFormat="1" applyFont="1" applyFill="1" applyBorder="1" applyAlignment="1">
      <alignment vertical="center"/>
    </xf>
    <xf numFmtId="164" fontId="5" fillId="7" borderId="3" xfId="8" applyFont="1" applyFill="1" applyBorder="1" applyAlignment="1">
      <alignment vertical="center"/>
    </xf>
    <xf numFmtId="164" fontId="5" fillId="5" borderId="3" xfId="8" applyFont="1" applyFill="1" applyBorder="1" applyAlignment="1">
      <alignment horizontal="right" vertical="center"/>
    </xf>
    <xf numFmtId="164" fontId="5" fillId="5" borderId="8" xfId="8" applyFont="1" applyFill="1" applyBorder="1" applyAlignment="1">
      <alignment horizontal="center" vertical="center"/>
    </xf>
    <xf numFmtId="0" fontId="11" fillId="5" borderId="10" xfId="0" applyFont="1" applyFill="1" applyBorder="1"/>
    <xf numFmtId="164" fontId="5" fillId="8" borderId="3" xfId="0" applyNumberFormat="1" applyFont="1" applyFill="1" applyBorder="1" applyAlignment="1">
      <alignment horizontal="right" vertical="center" wrapText="1"/>
    </xf>
    <xf numFmtId="164" fontId="5" fillId="8" borderId="3" xfId="0" applyNumberFormat="1" applyFont="1" applyFill="1" applyBorder="1" applyAlignment="1">
      <alignment vertical="center" wrapText="1"/>
    </xf>
    <xf numFmtId="164" fontId="5" fillId="8" borderId="3" xfId="8" applyFont="1" applyFill="1" applyBorder="1" applyAlignment="1">
      <alignment vertical="center"/>
    </xf>
    <xf numFmtId="164" fontId="5" fillId="8" borderId="3" xfId="0" applyNumberFormat="1" applyFont="1" applyFill="1" applyBorder="1" applyAlignment="1">
      <alignment vertical="center"/>
    </xf>
    <xf numFmtId="164" fontId="5" fillId="0" borderId="3" xfId="0" quotePrefix="1" applyNumberFormat="1" applyFont="1" applyBorder="1" applyAlignment="1">
      <alignment horizontal="right" vertical="center"/>
    </xf>
    <xf numFmtId="164" fontId="5" fillId="8" borderId="3" xfId="0" applyNumberFormat="1" applyFont="1" applyFill="1" applyBorder="1" applyAlignment="1">
      <alignment horizontal="center" vertical="center"/>
    </xf>
    <xf numFmtId="164" fontId="5" fillId="8" borderId="3" xfId="8" applyFont="1" applyFill="1" applyBorder="1" applyAlignment="1">
      <alignment horizontal="right" vertical="center"/>
    </xf>
    <xf numFmtId="164" fontId="5" fillId="8" borderId="3" xfId="0" applyNumberFormat="1" applyFont="1" applyFill="1" applyBorder="1" applyAlignment="1">
      <alignment horizontal="right" vertical="center"/>
    </xf>
    <xf numFmtId="164" fontId="7" fillId="5" borderId="41" xfId="0" applyNumberFormat="1" applyFont="1" applyFill="1" applyBorder="1" applyAlignment="1">
      <alignment vertical="center"/>
    </xf>
    <xf numFmtId="0" fontId="6" fillId="0" borderId="47" xfId="0" applyFont="1" applyBorder="1" applyAlignment="1">
      <alignment horizontal="center"/>
    </xf>
    <xf numFmtId="0" fontId="6" fillId="0" borderId="48" xfId="0" applyFont="1" applyBorder="1" applyAlignment="1">
      <alignment horizontal="center"/>
    </xf>
    <xf numFmtId="0" fontId="6" fillId="0" borderId="49" xfId="0" applyFont="1" applyBorder="1" applyAlignment="1">
      <alignment horizontal="center"/>
    </xf>
    <xf numFmtId="0" fontId="5" fillId="0" borderId="38" xfId="0" quotePrefix="1" applyFont="1" applyBorder="1" applyAlignment="1">
      <alignment horizontal="center" vertical="center"/>
    </xf>
    <xf numFmtId="4" fontId="5" fillId="0" borderId="3" xfId="0" applyNumberFormat="1" applyFont="1" applyBorder="1" applyAlignment="1" applyProtection="1">
      <alignment vertical="center"/>
      <protection locked="0"/>
    </xf>
    <xf numFmtId="0" fontId="5" fillId="0" borderId="16" xfId="0" applyFont="1" applyBorder="1" applyAlignment="1">
      <alignment horizontal="center" vertical="center"/>
    </xf>
    <xf numFmtId="164" fontId="7" fillId="0" borderId="41" xfId="8" applyFont="1" applyFill="1" applyBorder="1" applyAlignment="1">
      <alignment horizontal="right" vertical="center" wrapText="1"/>
    </xf>
    <xf numFmtId="0" fontId="5" fillId="0" borderId="3" xfId="0" applyFont="1" applyBorder="1" applyAlignment="1">
      <alignment horizontal="left" wrapText="1"/>
    </xf>
    <xf numFmtId="0" fontId="11" fillId="9" borderId="10" xfId="0" applyFont="1" applyFill="1" applyBorder="1" applyAlignment="1">
      <alignment wrapText="1"/>
    </xf>
    <xf numFmtId="0" fontId="33" fillId="0" borderId="3" xfId="0" quotePrefix="1" applyFont="1" applyBorder="1" applyAlignment="1">
      <alignment horizontal="center" vertical="center"/>
    </xf>
    <xf numFmtId="0" fontId="34" fillId="0" borderId="0" xfId="0" applyFont="1"/>
    <xf numFmtId="0" fontId="34" fillId="0" borderId="0" xfId="0" applyFont="1" applyAlignment="1">
      <alignment horizontal="center"/>
    </xf>
    <xf numFmtId="0" fontId="34" fillId="0" borderId="0" xfId="0" applyFont="1" applyAlignment="1">
      <alignment horizontal="left"/>
    </xf>
    <xf numFmtId="43" fontId="34" fillId="0" borderId="0" xfId="0" applyNumberFormat="1" applyFont="1"/>
    <xf numFmtId="0" fontId="35" fillId="0" borderId="0" xfId="0" applyFont="1"/>
    <xf numFmtId="0" fontId="35" fillId="10" borderId="0" xfId="0" applyFont="1" applyFill="1"/>
    <xf numFmtId="177" fontId="34" fillId="0" borderId="0" xfId="0" applyNumberFormat="1" applyFont="1"/>
    <xf numFmtId="0" fontId="36" fillId="0" borderId="0" xfId="4" applyFont="1"/>
    <xf numFmtId="0" fontId="37" fillId="0" borderId="0" xfId="0" applyFont="1" applyAlignment="1">
      <alignment horizontal="center"/>
    </xf>
    <xf numFmtId="164" fontId="7" fillId="0" borderId="3" xfId="8" applyFont="1" applyFill="1" applyBorder="1" applyAlignment="1">
      <alignment horizontal="center" vertical="center" wrapText="1"/>
    </xf>
    <xf numFmtId="0" fontId="6" fillId="0" borderId="11" xfId="0" applyFont="1" applyBorder="1" applyAlignment="1">
      <alignment horizontal="center" vertical="center"/>
    </xf>
    <xf numFmtId="0" fontId="6" fillId="0" borderId="4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164" fontId="10" fillId="0" borderId="2" xfId="8" applyFont="1" applyFill="1" applyBorder="1" applyAlignment="1">
      <alignment horizontal="center" vertical="center"/>
    </xf>
    <xf numFmtId="164" fontId="7" fillId="0" borderId="3" xfId="8" applyFont="1" applyBorder="1" applyAlignment="1">
      <alignment horizontal="center" vertical="center" wrapText="1"/>
    </xf>
    <xf numFmtId="0" fontId="6" fillId="0" borderId="11" xfId="0" applyFont="1" applyBorder="1" applyAlignment="1">
      <alignment horizontal="center" vertical="center" wrapText="1"/>
    </xf>
    <xf numFmtId="0" fontId="10" fillId="2" borderId="10" xfId="0" applyFont="1" applyFill="1" applyBorder="1" applyAlignment="1">
      <alignment horizontal="center" vertical="center" wrapText="1"/>
    </xf>
    <xf numFmtId="0" fontId="6" fillId="0" borderId="2" xfId="0" applyFont="1" applyBorder="1" applyAlignment="1">
      <alignment horizontal="center" vertical="center" wrapText="1"/>
    </xf>
    <xf numFmtId="164" fontId="7" fillId="0" borderId="2" xfId="8" applyFont="1" applyFill="1" applyBorder="1" applyAlignment="1">
      <alignment horizontal="center" vertical="center"/>
    </xf>
    <xf numFmtId="0" fontId="8" fillId="0" borderId="33" xfId="0" applyFont="1" applyBorder="1" applyAlignment="1">
      <alignment vertical="center"/>
    </xf>
    <xf numFmtId="0" fontId="8" fillId="0" borderId="35" xfId="0" applyFont="1" applyBorder="1" applyAlignment="1">
      <alignment vertical="center"/>
    </xf>
    <xf numFmtId="0" fontId="8" fillId="0" borderId="34" xfId="0" applyFont="1" applyBorder="1" applyAlignment="1">
      <alignment vertical="center"/>
    </xf>
    <xf numFmtId="0" fontId="8" fillId="0" borderId="26" xfId="0" applyFont="1" applyBorder="1" applyAlignment="1">
      <alignment vertical="center"/>
    </xf>
    <xf numFmtId="0" fontId="8" fillId="0" borderId="1" xfId="0" applyFont="1" applyBorder="1" applyAlignment="1">
      <alignment vertical="center"/>
    </xf>
    <xf numFmtId="0" fontId="8" fillId="0" borderId="37" xfId="0" applyFont="1" applyBorder="1" applyAlignment="1">
      <alignment vertical="center"/>
    </xf>
    <xf numFmtId="4" fontId="8" fillId="0" borderId="0" xfId="0" applyNumberFormat="1" applyFont="1" applyAlignment="1">
      <alignment vertical="center"/>
    </xf>
    <xf numFmtId="164" fontId="8" fillId="0" borderId="0" xfId="0" applyNumberFormat="1" applyFont="1"/>
    <xf numFmtId="0" fontId="8" fillId="0" borderId="10" xfId="0" applyFont="1" applyBorder="1"/>
    <xf numFmtId="0" fontId="5" fillId="7" borderId="3" xfId="0" applyFont="1" applyFill="1" applyBorder="1" applyAlignment="1">
      <alignment horizontal="right" vertical="center"/>
    </xf>
    <xf numFmtId="0" fontId="5" fillId="7" borderId="3" xfId="0" applyFont="1" applyFill="1" applyBorder="1" applyAlignment="1">
      <alignment horizontal="center" vertical="center"/>
    </xf>
    <xf numFmtId="0" fontId="8" fillId="4" borderId="0" xfId="0" applyFont="1" applyFill="1" applyAlignment="1">
      <alignment horizontal="left"/>
    </xf>
    <xf numFmtId="3" fontId="20" fillId="0" borderId="0" xfId="0" applyNumberFormat="1" applyFont="1" applyAlignment="1">
      <alignment vertical="center"/>
    </xf>
    <xf numFmtId="43" fontId="8" fillId="0" borderId="0" xfId="0" applyNumberFormat="1" applyFont="1"/>
    <xf numFmtId="164" fontId="5" fillId="0" borderId="3" xfId="0" applyNumberFormat="1" applyFont="1" applyBorder="1" applyAlignment="1">
      <alignment horizontal="right" vertical="center"/>
    </xf>
    <xf numFmtId="3" fontId="20" fillId="0" borderId="0" xfId="0" applyNumberFormat="1" applyFont="1"/>
    <xf numFmtId="171" fontId="8" fillId="0" borderId="0" xfId="0" applyNumberFormat="1" applyFont="1"/>
    <xf numFmtId="0" fontId="66" fillId="0" borderId="50" xfId="0" applyFont="1" applyBorder="1" applyAlignment="1">
      <alignment horizontal="left" vertical="center" wrapText="1"/>
    </xf>
    <xf numFmtId="0" fontId="16" fillId="0" borderId="10" xfId="0" applyFont="1" applyBorder="1" applyAlignment="1">
      <alignment vertical="center" wrapText="1"/>
    </xf>
    <xf numFmtId="4" fontId="66" fillId="0" borderId="10" xfId="8" applyNumberFormat="1" applyFont="1" applyBorder="1" applyAlignment="1">
      <alignment horizontal="right" vertical="center" wrapText="1"/>
    </xf>
    <xf numFmtId="10" fontId="16" fillId="0" borderId="52" xfId="8" applyNumberFormat="1" applyFont="1" applyBorder="1" applyAlignment="1">
      <alignment horizontal="center" vertical="center" wrapText="1"/>
    </xf>
    <xf numFmtId="0" fontId="16" fillId="0" borderId="10" xfId="0" applyFont="1" applyBorder="1" applyAlignment="1">
      <alignment vertical="center"/>
    </xf>
    <xf numFmtId="0" fontId="66" fillId="0" borderId="10" xfId="0" applyFont="1" applyBorder="1" applyAlignment="1">
      <alignment horizontal="right" vertical="center" wrapText="1"/>
    </xf>
    <xf numFmtId="14" fontId="16" fillId="0" borderId="52" xfId="0" applyNumberFormat="1" applyFont="1" applyBorder="1" applyAlignment="1">
      <alignment horizontal="center" vertical="center" wrapText="1"/>
    </xf>
    <xf numFmtId="0" fontId="66" fillId="11" borderId="50" xfId="0" applyFont="1" applyFill="1" applyBorder="1" applyAlignment="1">
      <alignment horizontal="center" vertical="center"/>
    </xf>
    <xf numFmtId="0" fontId="66" fillId="11" borderId="10" xfId="0" applyFont="1" applyFill="1" applyBorder="1" applyAlignment="1">
      <alignment horizontal="center" vertical="center"/>
    </xf>
    <xf numFmtId="0" fontId="66" fillId="11" borderId="52" xfId="0" applyFont="1" applyFill="1" applyBorder="1" applyAlignment="1">
      <alignment horizontal="center" vertical="center"/>
    </xf>
    <xf numFmtId="0" fontId="66" fillId="0" borderId="50" xfId="0" applyFont="1" applyBorder="1" applyAlignment="1">
      <alignment horizontal="center" vertical="center"/>
    </xf>
    <xf numFmtId="0" fontId="66" fillId="0" borderId="10" xfId="0" applyFont="1" applyBorder="1" applyAlignment="1">
      <alignment horizontal="justify" vertical="justify"/>
    </xf>
    <xf numFmtId="165" fontId="66" fillId="0" borderId="10" xfId="2" applyFont="1" applyBorder="1" applyAlignment="1">
      <alignment vertical="center"/>
    </xf>
    <xf numFmtId="164" fontId="66" fillId="0" borderId="52" xfId="0" applyNumberFormat="1" applyFont="1" applyBorder="1" applyAlignment="1">
      <alignment horizontal="center" vertical="center"/>
    </xf>
    <xf numFmtId="0" fontId="66" fillId="0" borderId="10" xfId="0" applyFont="1" applyBorder="1" applyAlignment="1">
      <alignment horizontal="justify" vertical="justify" wrapText="1"/>
    </xf>
    <xf numFmtId="165" fontId="66" fillId="11" borderId="10" xfId="2" applyFont="1" applyFill="1" applyBorder="1" applyAlignment="1">
      <alignment vertical="center"/>
    </xf>
    <xf numFmtId="164" fontId="66" fillId="11" borderId="52" xfId="0" applyNumberFormat="1" applyFont="1" applyFill="1" applyBorder="1" applyAlignment="1">
      <alignment horizontal="center" vertical="center"/>
    </xf>
    <xf numFmtId="0" fontId="66" fillId="0" borderId="50" xfId="0" applyFont="1" applyBorder="1" applyAlignment="1">
      <alignment horizontal="left" vertical="center"/>
    </xf>
    <xf numFmtId="4" fontId="66" fillId="0" borderId="10" xfId="0" applyNumberFormat="1" applyFont="1" applyBorder="1" applyAlignment="1">
      <alignment horizontal="center" vertical="center"/>
    </xf>
    <xf numFmtId="10" fontId="16" fillId="0" borderId="52" xfId="0" applyNumberFormat="1" applyFont="1" applyBorder="1" applyAlignment="1">
      <alignment horizontal="center" vertical="center"/>
    </xf>
    <xf numFmtId="0" fontId="66" fillId="0" borderId="10" xfId="0" applyFont="1" applyBorder="1" applyAlignment="1">
      <alignment horizontal="center" vertical="center"/>
    </xf>
    <xf numFmtId="14" fontId="16" fillId="0" borderId="52" xfId="0" applyNumberFormat="1" applyFont="1" applyBorder="1" applyAlignment="1">
      <alignment horizontal="center" vertical="center"/>
    </xf>
    <xf numFmtId="164" fontId="16" fillId="0" borderId="10" xfId="8" applyFont="1" applyFill="1" applyBorder="1" applyAlignment="1">
      <alignment vertical="center"/>
    </xf>
    <xf numFmtId="0" fontId="16" fillId="0" borderId="10" xfId="0" applyFont="1" applyBorder="1" applyAlignment="1">
      <alignment horizontal="center" vertical="center"/>
    </xf>
    <xf numFmtId="4" fontId="16" fillId="0" borderId="10" xfId="0" applyNumberFormat="1" applyFont="1" applyBorder="1" applyAlignment="1">
      <alignment vertical="center"/>
    </xf>
    <xf numFmtId="2" fontId="16" fillId="0" borderId="10" xfId="0" applyNumberFormat="1" applyFont="1" applyBorder="1" applyAlignment="1">
      <alignment horizontal="center" vertical="center"/>
    </xf>
    <xf numFmtId="2" fontId="16" fillId="0" borderId="52" xfId="0" applyNumberFormat="1" applyFont="1" applyBorder="1" applyAlignment="1">
      <alignment horizontal="center" vertical="center"/>
    </xf>
    <xf numFmtId="164" fontId="66" fillId="0" borderId="50" xfId="8" applyFont="1" applyFill="1" applyBorder="1" applyAlignment="1">
      <alignment horizontal="center" vertical="center"/>
    </xf>
    <xf numFmtId="164" fontId="66" fillId="0" borderId="10" xfId="8" applyFont="1" applyFill="1" applyBorder="1" applyAlignment="1">
      <alignment horizontal="center" vertical="center" wrapText="1"/>
    </xf>
    <xf numFmtId="165" fontId="16" fillId="0" borderId="10" xfId="2" applyFont="1" applyFill="1" applyBorder="1" applyAlignment="1">
      <alignment vertical="center"/>
    </xf>
    <xf numFmtId="10" fontId="16" fillId="0" borderId="10" xfId="5" applyNumberFormat="1" applyFont="1" applyFill="1" applyBorder="1" applyAlignment="1">
      <alignment horizontal="center" vertical="center"/>
    </xf>
    <xf numFmtId="165" fontId="16" fillId="0" borderId="10" xfId="2" applyFont="1" applyBorder="1" applyAlignment="1">
      <alignment vertical="center"/>
    </xf>
    <xf numFmtId="3" fontId="66" fillId="0" borderId="10" xfId="0" applyNumberFormat="1" applyFont="1" applyBorder="1" applyAlignment="1">
      <alignment horizontal="center" vertical="center"/>
    </xf>
    <xf numFmtId="3" fontId="66" fillId="0" borderId="52" xfId="0" applyNumberFormat="1" applyFont="1" applyBorder="1" applyAlignment="1">
      <alignment horizontal="center" vertical="center"/>
    </xf>
    <xf numFmtId="165" fontId="66" fillId="0" borderId="10" xfId="2" applyFont="1" applyFill="1" applyBorder="1" applyAlignment="1">
      <alignment vertical="center"/>
    </xf>
    <xf numFmtId="10" fontId="66" fillId="0" borderId="10" xfId="5" applyNumberFormat="1" applyFont="1" applyFill="1" applyBorder="1" applyAlignment="1">
      <alignment horizontal="center" vertical="center"/>
    </xf>
    <xf numFmtId="169" fontId="66" fillId="0" borderId="10" xfId="5" applyNumberFormat="1" applyFont="1" applyBorder="1" applyAlignment="1">
      <alignment horizontal="center" vertical="center"/>
    </xf>
    <xf numFmtId="169" fontId="66" fillId="0" borderId="52" xfId="5" applyNumberFormat="1" applyFont="1" applyBorder="1" applyAlignment="1">
      <alignment horizontal="center" vertical="center"/>
    </xf>
    <xf numFmtId="164" fontId="16" fillId="0" borderId="10" xfId="0" applyNumberFormat="1" applyFont="1" applyBorder="1" applyAlignment="1">
      <alignment vertical="center"/>
    </xf>
    <xf numFmtId="4" fontId="68" fillId="0" borderId="10" xfId="0" applyNumberFormat="1" applyFont="1" applyBorder="1" applyAlignment="1">
      <alignment horizontal="right"/>
    </xf>
    <xf numFmtId="164" fontId="68" fillId="0" borderId="10" xfId="0" applyNumberFormat="1" applyFont="1" applyBorder="1" applyAlignment="1">
      <alignment horizontal="right"/>
    </xf>
    <xf numFmtId="0" fontId="68" fillId="12" borderId="10" xfId="0" quotePrefix="1" applyFont="1" applyFill="1" applyBorder="1" applyAlignment="1">
      <alignment horizontal="center" vertical="center"/>
    </xf>
    <xf numFmtId="0" fontId="68" fillId="12" borderId="10" xfId="0" applyFont="1" applyFill="1" applyBorder="1" applyAlignment="1">
      <alignment horizontal="justify" vertical="center"/>
    </xf>
    <xf numFmtId="0" fontId="69" fillId="0" borderId="10" xfId="0" applyFont="1" applyBorder="1" applyAlignment="1">
      <alignment vertical="center" wrapText="1"/>
    </xf>
    <xf numFmtId="0" fontId="69" fillId="0" borderId="10" xfId="0" quotePrefix="1" applyFont="1" applyBorder="1" applyAlignment="1">
      <alignment horizontal="center" vertical="center"/>
    </xf>
    <xf numFmtId="164" fontId="69" fillId="0" borderId="10" xfId="8" applyFont="1" applyFill="1" applyBorder="1" applyAlignment="1">
      <alignment horizontal="right" vertical="center"/>
    </xf>
    <xf numFmtId="165" fontId="69" fillId="0" borderId="10" xfId="2" applyFont="1" applyFill="1" applyBorder="1" applyAlignment="1">
      <alignment horizontal="right" vertical="center"/>
    </xf>
    <xf numFmtId="165" fontId="69" fillId="0" borderId="10" xfId="13" applyFont="1" applyFill="1" applyBorder="1" applyAlignment="1">
      <alignment horizontal="right" vertical="center"/>
    </xf>
    <xf numFmtId="0" fontId="69" fillId="0" borderId="10" xfId="0" applyFont="1" applyBorder="1" applyAlignment="1">
      <alignment horizontal="justify" vertical="center"/>
    </xf>
    <xf numFmtId="165" fontId="69" fillId="0" borderId="10" xfId="2" quotePrefix="1" applyFont="1" applyFill="1" applyBorder="1" applyAlignment="1">
      <alignment horizontal="center" vertical="center"/>
    </xf>
    <xf numFmtId="165" fontId="69" fillId="0" borderId="10" xfId="2" applyFont="1" applyFill="1" applyBorder="1" applyAlignment="1">
      <alignment horizontal="center" vertical="center"/>
    </xf>
    <xf numFmtId="164" fontId="69" fillId="0" borderId="10" xfId="8" applyFont="1" applyFill="1" applyBorder="1" applyAlignment="1">
      <alignment horizontal="left" vertical="center"/>
    </xf>
    <xf numFmtId="0" fontId="71" fillId="0" borderId="50" xfId="4" applyFont="1" applyBorder="1"/>
    <xf numFmtId="0" fontId="73" fillId="0" borderId="50" xfId="4" applyFont="1" applyBorder="1" applyAlignment="1">
      <alignment horizontal="center"/>
    </xf>
    <xf numFmtId="0" fontId="73" fillId="0" borderId="10" xfId="4" applyFont="1" applyBorder="1"/>
    <xf numFmtId="10" fontId="73" fillId="0" borderId="10" xfId="4" applyNumberFormat="1" applyFont="1" applyBorder="1" applyAlignment="1">
      <alignment horizontal="center"/>
    </xf>
    <xf numFmtId="10" fontId="73" fillId="0" borderId="52" xfId="4" applyNumberFormat="1" applyFont="1" applyBorder="1" applyAlignment="1">
      <alignment horizontal="center"/>
    </xf>
    <xf numFmtId="14" fontId="68" fillId="0" borderId="10" xfId="0" applyNumberFormat="1" applyFont="1" applyBorder="1" applyAlignment="1">
      <alignment horizontal="right"/>
    </xf>
    <xf numFmtId="0" fontId="68" fillId="0" borderId="10" xfId="0" applyFont="1" applyBorder="1" applyAlignment="1">
      <alignment vertical="center"/>
    </xf>
    <xf numFmtId="164" fontId="69" fillId="39" borderId="10" xfId="8" applyFont="1" applyFill="1" applyBorder="1" applyAlignment="1">
      <alignment horizontal="center" vertical="center"/>
    </xf>
    <xf numFmtId="164" fontId="69" fillId="39" borderId="10" xfId="8" applyFont="1" applyFill="1" applyBorder="1" applyAlignment="1">
      <alignment horizontal="left" vertical="center"/>
    </xf>
    <xf numFmtId="165" fontId="69" fillId="39" borderId="10" xfId="2" applyFont="1" applyFill="1" applyBorder="1" applyAlignment="1">
      <alignment horizontal="center" vertical="center"/>
    </xf>
    <xf numFmtId="165" fontId="69" fillId="39" borderId="10" xfId="2" applyFont="1" applyFill="1" applyBorder="1" applyAlignment="1">
      <alignment horizontal="right" vertical="center"/>
    </xf>
    <xf numFmtId="0" fontId="69" fillId="39" borderId="10" xfId="0" applyFont="1" applyFill="1" applyBorder="1" applyAlignment="1">
      <alignment horizontal="center" vertical="center"/>
    </xf>
    <xf numFmtId="0" fontId="69" fillId="39" borderId="10" xfId="0" applyFont="1" applyFill="1" applyBorder="1" applyAlignment="1">
      <alignment horizontal="left" vertical="center" wrapText="1"/>
    </xf>
    <xf numFmtId="0" fontId="69" fillId="39" borderId="10" xfId="0" applyFont="1" applyFill="1" applyBorder="1" applyAlignment="1">
      <alignment horizontal="center" vertical="center" wrapText="1"/>
    </xf>
    <xf numFmtId="0" fontId="69" fillId="39" borderId="10" xfId="0" applyFont="1" applyFill="1" applyBorder="1" applyAlignment="1">
      <alignment horizontal="justify" vertical="center"/>
    </xf>
    <xf numFmtId="164" fontId="69" fillId="39" borderId="10" xfId="8" applyFont="1" applyFill="1" applyBorder="1" applyAlignment="1">
      <alignment horizontal="right" vertical="center"/>
    </xf>
    <xf numFmtId="165" fontId="69" fillId="39" borderId="10" xfId="2" applyFont="1" applyFill="1" applyBorder="1" applyAlignment="1">
      <alignment horizontal="center" vertical="center" wrapText="1"/>
    </xf>
    <xf numFmtId="164" fontId="68" fillId="40" borderId="10" xfId="8" applyFont="1" applyFill="1" applyBorder="1" applyAlignment="1">
      <alignment horizontal="center" vertical="center"/>
    </xf>
    <xf numFmtId="164" fontId="68" fillId="40" borderId="10" xfId="8" applyFont="1" applyFill="1" applyBorder="1" applyAlignment="1">
      <alignment horizontal="left" vertical="center"/>
    </xf>
    <xf numFmtId="0" fontId="69" fillId="39" borderId="10" xfId="0" applyFont="1" applyFill="1" applyBorder="1" applyAlignment="1">
      <alignment horizontal="left" vertical="top" wrapText="1"/>
    </xf>
    <xf numFmtId="173" fontId="68" fillId="0" borderId="10" xfId="0" applyNumberFormat="1" applyFont="1" applyBorder="1" applyAlignment="1">
      <alignment horizontal="center" vertical="center"/>
    </xf>
    <xf numFmtId="0" fontId="68" fillId="0" borderId="10" xfId="0" applyFont="1" applyBorder="1" applyAlignment="1">
      <alignment horizontal="justify" vertical="center" wrapText="1"/>
    </xf>
    <xf numFmtId="0" fontId="68" fillId="0" borderId="10" xfId="0" applyFont="1" applyBorder="1" applyAlignment="1">
      <alignment horizontal="right" vertical="center"/>
    </xf>
    <xf numFmtId="2" fontId="68" fillId="0" borderId="10" xfId="0" applyNumberFormat="1" applyFont="1" applyBorder="1" applyAlignment="1">
      <alignment vertical="center"/>
    </xf>
    <xf numFmtId="0" fontId="71" fillId="0" borderId="10" xfId="0" applyFont="1" applyBorder="1" applyAlignment="1">
      <alignment horizontal="justify" vertical="center" wrapText="1"/>
    </xf>
    <xf numFmtId="0" fontId="71" fillId="0" borderId="10" xfId="0" applyFont="1" applyBorder="1" applyAlignment="1">
      <alignment horizontal="center" vertical="center" wrapText="1"/>
    </xf>
    <xf numFmtId="174" fontId="71" fillId="0" borderId="10" xfId="0" applyNumberFormat="1" applyFont="1" applyBorder="1" applyAlignment="1">
      <alignment horizontal="center" vertical="center" wrapText="1"/>
    </xf>
    <xf numFmtId="175" fontId="71" fillId="0" borderId="10" xfId="0" applyNumberFormat="1" applyFont="1" applyBorder="1" applyAlignment="1">
      <alignment horizontal="center" vertical="center" wrapText="1"/>
    </xf>
    <xf numFmtId="164" fontId="69" fillId="0" borderId="10" xfId="0" quotePrefix="1" applyNumberFormat="1" applyFont="1" applyBorder="1" applyAlignment="1">
      <alignment horizontal="center" vertical="center"/>
    </xf>
    <xf numFmtId="0" fontId="71" fillId="0" borderId="10" xfId="0" applyFont="1" applyBorder="1" applyAlignment="1">
      <alignment horizontal="right" vertical="center" wrapText="1"/>
    </xf>
    <xf numFmtId="176" fontId="69" fillId="0" borderId="10" xfId="0" applyNumberFormat="1" applyFont="1" applyBorder="1" applyAlignment="1">
      <alignment horizontal="center" vertical="center" wrapText="1"/>
    </xf>
    <xf numFmtId="2" fontId="71" fillId="0" borderId="10" xfId="0" applyNumberFormat="1" applyFont="1" applyBorder="1" applyAlignment="1">
      <alignment horizontal="center" vertical="center" wrapText="1"/>
    </xf>
    <xf numFmtId="173" fontId="69" fillId="0" borderId="10" xfId="0" applyNumberFormat="1" applyFont="1" applyBorder="1" applyAlignment="1">
      <alignment horizontal="center" vertical="center"/>
    </xf>
    <xf numFmtId="2" fontId="73" fillId="0" borderId="10" xfId="0" applyNumberFormat="1" applyFont="1" applyBorder="1" applyAlignment="1">
      <alignment horizontal="center" vertical="center" wrapText="1"/>
    </xf>
    <xf numFmtId="0" fontId="69" fillId="0" borderId="10" xfId="0" applyFont="1" applyBorder="1" applyAlignment="1">
      <alignment horizontal="justify" vertical="center" wrapText="1"/>
    </xf>
    <xf numFmtId="0" fontId="73" fillId="0" borderId="10" xfId="0" applyFont="1" applyBorder="1" applyAlignment="1">
      <alignment horizontal="justify" vertical="center" wrapText="1"/>
    </xf>
    <xf numFmtId="0" fontId="69" fillId="0" borderId="10" xfId="0" quotePrefix="1" applyFont="1" applyBorder="1" applyAlignment="1">
      <alignment horizontal="justify" vertical="center" wrapText="1"/>
    </xf>
    <xf numFmtId="0" fontId="68" fillId="0" borderId="10" xfId="0" applyFont="1" applyBorder="1" applyAlignment="1">
      <alignment horizontal="right" vertical="center" wrapText="1"/>
    </xf>
    <xf numFmtId="165" fontId="69" fillId="0" borderId="10" xfId="13" applyFont="1" applyFill="1" applyBorder="1" applyAlignment="1">
      <alignment horizontal="center" vertical="center" wrapText="1"/>
    </xf>
    <xf numFmtId="174" fontId="69" fillId="0" borderId="10" xfId="0" applyNumberFormat="1" applyFont="1" applyBorder="1" applyAlignment="1">
      <alignment horizontal="center" vertical="center" wrapText="1"/>
    </xf>
    <xf numFmtId="0" fontId="68" fillId="0" borderId="50" xfId="0" applyFont="1" applyBorder="1"/>
    <xf numFmtId="0" fontId="68" fillId="0" borderId="50" xfId="0" applyFont="1" applyBorder="1" applyAlignment="1">
      <alignment vertical="center"/>
    </xf>
    <xf numFmtId="173" fontId="68" fillId="0" borderId="50" xfId="0" applyNumberFormat="1" applyFont="1" applyBorder="1" applyAlignment="1">
      <alignment horizontal="center" vertical="center"/>
    </xf>
    <xf numFmtId="2" fontId="68" fillId="0" borderId="52" xfId="0" applyNumberFormat="1" applyFont="1" applyBorder="1" applyAlignment="1">
      <alignment vertical="center"/>
    </xf>
    <xf numFmtId="175" fontId="71" fillId="0" borderId="52" xfId="0" applyNumberFormat="1" applyFont="1" applyBorder="1" applyAlignment="1">
      <alignment horizontal="center" vertical="center" wrapText="1"/>
    </xf>
    <xf numFmtId="165" fontId="69" fillId="0" borderId="52" xfId="2" applyFont="1" applyFill="1" applyBorder="1" applyAlignment="1">
      <alignment horizontal="center" vertical="center" wrapText="1"/>
    </xf>
    <xf numFmtId="165" fontId="68" fillId="0" borderId="52" xfId="2" applyFont="1" applyFill="1" applyBorder="1" applyAlignment="1">
      <alignment horizontal="center" vertical="center"/>
    </xf>
    <xf numFmtId="165" fontId="72" fillId="0" borderId="52" xfId="2" applyFont="1" applyFill="1" applyBorder="1" applyAlignment="1">
      <alignment horizontal="center" vertical="center" wrapText="1"/>
    </xf>
    <xf numFmtId="0" fontId="69" fillId="0" borderId="50" xfId="0" applyFont="1" applyBorder="1"/>
    <xf numFmtId="165" fontId="69" fillId="0" borderId="52" xfId="2" applyFont="1" applyFill="1" applyBorder="1" applyAlignment="1">
      <alignment horizontal="right" vertical="center"/>
    </xf>
    <xf numFmtId="178" fontId="69" fillId="0" borderId="50" xfId="0" applyNumberFormat="1" applyFont="1" applyBorder="1" applyAlignment="1">
      <alignment horizontal="center" vertical="center"/>
    </xf>
    <xf numFmtId="4" fontId="68" fillId="0" borderId="52" xfId="0" applyNumberFormat="1" applyFont="1" applyBorder="1" applyAlignment="1">
      <alignment horizontal="center" vertical="center"/>
    </xf>
    <xf numFmtId="14" fontId="69" fillId="0" borderId="50" xfId="0" applyNumberFormat="1" applyFont="1" applyBorder="1" applyAlignment="1">
      <alignment horizontal="center" vertical="center"/>
    </xf>
    <xf numFmtId="164" fontId="69" fillId="0" borderId="52" xfId="8" applyFont="1" applyBorder="1" applyAlignment="1">
      <alignment horizontal="center" vertical="center"/>
    </xf>
    <xf numFmtId="14" fontId="73" fillId="0" borderId="50" xfId="0" applyNumberFormat="1" applyFont="1" applyBorder="1" applyAlignment="1">
      <alignment horizontal="center" vertical="center"/>
    </xf>
    <xf numFmtId="164" fontId="73" fillId="0" borderId="52" xfId="8" applyFont="1" applyBorder="1" applyAlignment="1">
      <alignment horizontal="center" vertical="center"/>
    </xf>
    <xf numFmtId="4" fontId="69" fillId="0" borderId="52" xfId="0" applyNumberFormat="1" applyFont="1" applyBorder="1" applyAlignment="1">
      <alignment horizontal="center" vertical="center"/>
    </xf>
    <xf numFmtId="165" fontId="69" fillId="0" borderId="52" xfId="13" applyFont="1" applyFill="1" applyBorder="1" applyAlignment="1">
      <alignment horizontal="center" vertical="center" wrapText="1"/>
    </xf>
    <xf numFmtId="0" fontId="69" fillId="39" borderId="10" xfId="8" applyNumberFormat="1" applyFont="1" applyFill="1" applyBorder="1" applyAlignment="1">
      <alignment horizontal="center" vertical="center"/>
    </xf>
    <xf numFmtId="0" fontId="69" fillId="0" borderId="10" xfId="8" applyNumberFormat="1" applyFont="1" applyFill="1" applyBorder="1" applyAlignment="1">
      <alignment horizontal="center" vertical="center"/>
    </xf>
    <xf numFmtId="0" fontId="69" fillId="0" borderId="10" xfId="8" applyNumberFormat="1" applyFont="1" applyFill="1" applyBorder="1" applyAlignment="1">
      <alignment horizontal="center" vertical="center" wrapText="1"/>
    </xf>
    <xf numFmtId="0" fontId="69" fillId="39" borderId="10" xfId="0" applyFont="1" applyFill="1" applyBorder="1" applyAlignment="1">
      <alignment horizontal="left" vertical="top"/>
    </xf>
    <xf numFmtId="0" fontId="69" fillId="0" borderId="10" xfId="0" applyFont="1" applyBorder="1" applyAlignment="1">
      <alignment horizontal="left" vertical="top" wrapText="1"/>
    </xf>
    <xf numFmtId="0" fontId="69" fillId="0" borderId="10" xfId="0" applyFont="1" applyBorder="1" applyAlignment="1">
      <alignment horizontal="left" vertical="top"/>
    </xf>
    <xf numFmtId="0" fontId="68" fillId="0" borderId="10" xfId="0" applyFont="1" applyBorder="1" applyAlignment="1">
      <alignment vertical="center" wrapText="1"/>
    </xf>
    <xf numFmtId="0" fontId="71" fillId="0" borderId="10" xfId="0" applyFont="1" applyBorder="1" applyAlignment="1">
      <alignment horizontal="left" vertical="center" wrapText="1"/>
    </xf>
    <xf numFmtId="0" fontId="68" fillId="0" borderId="10" xfId="0" applyFont="1" applyBorder="1" applyAlignment="1">
      <alignment vertical="justify"/>
    </xf>
    <xf numFmtId="165" fontId="68" fillId="0" borderId="52" xfId="2" applyFont="1" applyFill="1" applyBorder="1" applyAlignment="1">
      <alignment horizontal="center" vertical="center" wrapText="1"/>
    </xf>
    <xf numFmtId="0" fontId="69" fillId="0" borderId="10" xfId="0" applyFont="1" applyBorder="1" applyAlignment="1">
      <alignment horizontal="left" vertical="center" wrapText="1"/>
    </xf>
    <xf numFmtId="0" fontId="69" fillId="39" borderId="10" xfId="0" applyFont="1" applyFill="1" applyBorder="1" applyAlignment="1">
      <alignment horizontal="left" vertical="center"/>
    </xf>
    <xf numFmtId="0" fontId="69" fillId="0" borderId="10" xfId="0" applyFont="1" applyBorder="1" applyAlignment="1">
      <alignment horizontal="left" vertical="center"/>
    </xf>
    <xf numFmtId="164" fontId="69" fillId="0" borderId="10" xfId="8" applyFont="1" applyFill="1" applyBorder="1" applyAlignment="1">
      <alignment horizontal="center" vertical="center"/>
    </xf>
    <xf numFmtId="0" fontId="69" fillId="0" borderId="10" xfId="0" applyFont="1" applyBorder="1" applyAlignment="1">
      <alignment horizontal="justify" vertical="justify" wrapText="1"/>
    </xf>
    <xf numFmtId="0" fontId="68" fillId="0" borderId="10" xfId="0" applyFont="1" applyBorder="1" applyAlignment="1">
      <alignment horizontal="center" vertical="center"/>
    </xf>
    <xf numFmtId="0" fontId="73" fillId="0" borderId="10" xfId="0" applyFont="1" applyBorder="1" applyAlignment="1">
      <alignment horizontal="center" vertical="center" wrapText="1"/>
    </xf>
    <xf numFmtId="165" fontId="73" fillId="0" borderId="10" xfId="2" applyFont="1" applyFill="1" applyBorder="1" applyAlignment="1">
      <alignment horizontal="center" vertical="center" wrapText="1"/>
    </xf>
    <xf numFmtId="0" fontId="68" fillId="0" borderId="10" xfId="0" applyFont="1" applyBorder="1" applyAlignment="1">
      <alignment horizontal="center" vertical="center" wrapText="1"/>
    </xf>
    <xf numFmtId="0" fontId="69" fillId="0" borderId="10" xfId="0" applyFont="1" applyBorder="1" applyAlignment="1">
      <alignment horizontal="center" vertical="center" wrapText="1"/>
    </xf>
    <xf numFmtId="165" fontId="69" fillId="0" borderId="10" xfId="2" applyFont="1" applyFill="1" applyBorder="1" applyAlignment="1">
      <alignment horizontal="center" vertical="center" wrapText="1"/>
    </xf>
    <xf numFmtId="0" fontId="68" fillId="0" borderId="50" xfId="0" applyFont="1" applyBorder="1" applyAlignment="1">
      <alignment horizontal="center" vertical="center"/>
    </xf>
    <xf numFmtId="0" fontId="69" fillId="0" borderId="50" xfId="0" applyFont="1" applyBorder="1" applyAlignment="1">
      <alignment horizontal="center" vertical="center"/>
    </xf>
    <xf numFmtId="0" fontId="69" fillId="0" borderId="10" xfId="0" applyFont="1" applyBorder="1" applyAlignment="1">
      <alignment horizontal="center" vertical="center"/>
    </xf>
    <xf numFmtId="10" fontId="69" fillId="0" borderId="52" xfId="0" applyNumberFormat="1" applyFont="1" applyBorder="1" applyAlignment="1">
      <alignment horizontal="left"/>
    </xf>
    <xf numFmtId="14" fontId="69" fillId="0" borderId="52" xfId="0" applyNumberFormat="1" applyFont="1" applyBorder="1" applyAlignment="1">
      <alignment horizontal="left"/>
    </xf>
    <xf numFmtId="0" fontId="69" fillId="0" borderId="10" xfId="0" applyFont="1" applyBorder="1" applyAlignment="1">
      <alignment vertical="center"/>
    </xf>
    <xf numFmtId="164" fontId="69" fillId="0" borderId="93" xfId="8" applyFont="1" applyFill="1" applyBorder="1" applyAlignment="1">
      <alignment horizontal="center" vertical="center"/>
    </xf>
    <xf numFmtId="0" fontId="69" fillId="0" borderId="93" xfId="0" applyFont="1" applyBorder="1" applyAlignment="1">
      <alignment horizontal="center" vertical="center"/>
    </xf>
    <xf numFmtId="0" fontId="68" fillId="0" borderId="50" xfId="0" applyFont="1" applyBorder="1" applyAlignment="1">
      <alignment horizontal="left"/>
    </xf>
    <xf numFmtId="0" fontId="68" fillId="0" borderId="50" xfId="0" applyFont="1" applyBorder="1" applyAlignment="1">
      <alignment horizontal="center" vertical="center" wrapText="1"/>
    </xf>
    <xf numFmtId="0" fontId="68" fillId="0" borderId="52" xfId="0" applyFont="1" applyBorder="1" applyAlignment="1">
      <alignment horizontal="center" vertical="center" wrapText="1"/>
    </xf>
    <xf numFmtId="0" fontId="68" fillId="12" borderId="50" xfId="0" applyFont="1" applyFill="1" applyBorder="1" applyAlignment="1">
      <alignment horizontal="center" vertical="center"/>
    </xf>
    <xf numFmtId="164" fontId="69" fillId="0" borderId="50" xfId="8" applyFont="1" applyFill="1" applyBorder="1" applyAlignment="1">
      <alignment horizontal="center" vertical="center"/>
    </xf>
    <xf numFmtId="165" fontId="68" fillId="0" borderId="52" xfId="2" applyFont="1" applyFill="1" applyBorder="1" applyAlignment="1">
      <alignment horizontal="justify" vertical="center"/>
    </xf>
    <xf numFmtId="165" fontId="68" fillId="0" borderId="52" xfId="2" applyFont="1" applyFill="1" applyBorder="1" applyAlignment="1">
      <alignment horizontal="right" vertical="center"/>
    </xf>
    <xf numFmtId="164" fontId="69" fillId="39" borderId="50" xfId="8" applyFont="1" applyFill="1" applyBorder="1" applyAlignment="1">
      <alignment horizontal="center" vertical="center"/>
    </xf>
    <xf numFmtId="165" fontId="69" fillId="39" borderId="52" xfId="2" applyFont="1" applyFill="1" applyBorder="1" applyAlignment="1">
      <alignment horizontal="right" vertical="center"/>
    </xf>
    <xf numFmtId="0" fontId="68" fillId="39" borderId="50" xfId="0" applyFont="1" applyFill="1" applyBorder="1" applyAlignment="1">
      <alignment horizontal="center" vertical="center"/>
    </xf>
    <xf numFmtId="164" fontId="68" fillId="39" borderId="50" xfId="8" applyFont="1" applyFill="1" applyBorder="1" applyAlignment="1">
      <alignment horizontal="center" vertical="center"/>
    </xf>
    <xf numFmtId="164" fontId="68" fillId="0" borderId="50" xfId="8" applyFont="1" applyFill="1" applyBorder="1" applyAlignment="1">
      <alignment horizontal="center" vertical="center"/>
    </xf>
    <xf numFmtId="164" fontId="68" fillId="40" borderId="50" xfId="8" applyFont="1" applyFill="1" applyBorder="1" applyAlignment="1">
      <alignment horizontal="center" vertical="center"/>
    </xf>
    <xf numFmtId="165" fontId="70" fillId="38" borderId="52" xfId="13" applyFont="1" applyFill="1" applyBorder="1" applyAlignment="1">
      <alignment horizontal="justify" vertical="center"/>
    </xf>
    <xf numFmtId="0" fontId="71" fillId="0" borderId="10" xfId="4" applyFont="1" applyBorder="1" applyAlignment="1">
      <alignment horizontal="center"/>
    </xf>
    <xf numFmtId="0" fontId="71" fillId="0" borderId="50" xfId="4" applyFont="1" applyBorder="1" applyAlignment="1">
      <alignment horizontal="center"/>
    </xf>
    <xf numFmtId="0" fontId="71" fillId="0" borderId="52" xfId="4" applyFont="1" applyBorder="1" applyAlignment="1">
      <alignment horizontal="center"/>
    </xf>
    <xf numFmtId="0" fontId="71" fillId="11" borderId="50" xfId="4" applyFont="1" applyFill="1" applyBorder="1" applyAlignment="1">
      <alignment horizontal="center"/>
    </xf>
    <xf numFmtId="10" fontId="71" fillId="0" borderId="52" xfId="4" applyNumberFormat="1" applyFont="1" applyBorder="1" applyAlignment="1">
      <alignment horizontal="center"/>
    </xf>
    <xf numFmtId="10" fontId="76" fillId="0" borderId="52" xfId="4" applyNumberFormat="1" applyFont="1" applyBorder="1" applyAlignment="1">
      <alignment horizontal="center"/>
    </xf>
    <xf numFmtId="10" fontId="76" fillId="11" borderId="52" xfId="4" applyNumberFormat="1" applyFont="1" applyFill="1" applyBorder="1" applyAlignment="1">
      <alignment horizontal="center"/>
    </xf>
    <xf numFmtId="10" fontId="76" fillId="11" borderId="52" xfId="4" applyNumberFormat="1" applyFont="1" applyFill="1" applyBorder="1" applyAlignment="1">
      <alignment horizontal="center" vertical="center"/>
    </xf>
    <xf numFmtId="0" fontId="80" fillId="0" borderId="10" xfId="0" applyFont="1" applyBorder="1"/>
    <xf numFmtId="0" fontId="81" fillId="0" borderId="0" xfId="0" applyFont="1"/>
    <xf numFmtId="185" fontId="69" fillId="0" borderId="10" xfId="0" applyNumberFormat="1" applyFont="1" applyBorder="1" applyAlignment="1">
      <alignment horizontal="center" vertical="center" wrapText="1"/>
    </xf>
    <xf numFmtId="175" fontId="69" fillId="0" borderId="10" xfId="0" applyNumberFormat="1" applyFont="1" applyBorder="1" applyAlignment="1">
      <alignment horizontal="center" vertical="center" wrapText="1"/>
    </xf>
    <xf numFmtId="0" fontId="69" fillId="0" borderId="10" xfId="0" applyFont="1" applyFill="1" applyBorder="1" applyAlignment="1">
      <alignment horizontal="center" vertical="center" wrapText="1"/>
    </xf>
    <xf numFmtId="0" fontId="69" fillId="0" borderId="10" xfId="0" applyFont="1" applyFill="1" applyBorder="1" applyAlignment="1">
      <alignment horizontal="justify" vertical="center"/>
    </xf>
    <xf numFmtId="0" fontId="6" fillId="2" borderId="11"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5" xfId="0" applyFont="1" applyFill="1" applyBorder="1" applyAlignment="1">
      <alignment horizontal="center" vertical="center" wrapText="1"/>
    </xf>
    <xf numFmtId="164" fontId="5" fillId="0" borderId="0" xfId="0" applyNumberFormat="1" applyFont="1" applyAlignment="1">
      <alignment horizontal="center" vertical="center" wrapText="1"/>
    </xf>
    <xf numFmtId="172" fontId="4" fillId="0" borderId="0" xfId="0" applyNumberFormat="1" applyFont="1" applyAlignment="1">
      <alignment horizontal="left" vertical="top" wrapText="1"/>
    </xf>
    <xf numFmtId="172" fontId="4" fillId="0" borderId="35" xfId="0" applyNumberFormat="1" applyFont="1" applyBorder="1" applyAlignment="1">
      <alignment horizontal="left" vertical="top" wrapText="1"/>
    </xf>
    <xf numFmtId="0" fontId="5" fillId="0" borderId="49" xfId="0" applyFont="1" applyBorder="1" applyAlignment="1">
      <alignment horizontal="center" vertical="center"/>
    </xf>
    <xf numFmtId="0" fontId="4" fillId="2" borderId="65" xfId="0" applyFont="1" applyFill="1" applyBorder="1" applyAlignment="1">
      <alignment horizontal="center" vertical="center"/>
    </xf>
    <xf numFmtId="0" fontId="4" fillId="2" borderId="66" xfId="0" quotePrefix="1" applyFont="1" applyFill="1" applyBorder="1" applyAlignment="1">
      <alignment horizontal="center" vertical="center"/>
    </xf>
    <xf numFmtId="0" fontId="6" fillId="2" borderId="31"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32" xfId="0" applyFont="1" applyFill="1" applyBorder="1" applyAlignment="1">
      <alignment horizontal="center" vertical="center" wrapText="1"/>
    </xf>
    <xf numFmtId="0" fontId="6" fillId="2" borderId="0" xfId="0" applyFont="1" applyFill="1" applyAlignment="1">
      <alignment horizontal="center" vertical="center" wrapText="1"/>
    </xf>
    <xf numFmtId="0" fontId="21" fillId="0" borderId="3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3" fillId="0" borderId="10" xfId="0" applyFont="1" applyBorder="1" applyAlignment="1">
      <alignment horizontal="right" vertical="center"/>
    </xf>
    <xf numFmtId="0" fontId="23" fillId="2" borderId="10" xfId="0" applyFont="1" applyFill="1" applyBorder="1" applyAlignment="1">
      <alignment horizontal="right" vertical="center"/>
    </xf>
    <xf numFmtId="0" fontId="23" fillId="0" borderId="10" xfId="0" applyFont="1" applyBorder="1" applyAlignment="1">
      <alignment horizontal="center" vertical="center"/>
    </xf>
    <xf numFmtId="0" fontId="23" fillId="0" borderId="52" xfId="0" applyFont="1" applyBorder="1" applyAlignment="1">
      <alignment horizontal="center" vertical="center"/>
    </xf>
    <xf numFmtId="0" fontId="23" fillId="2" borderId="10" xfId="0" applyFont="1" applyFill="1" applyBorder="1" applyAlignment="1">
      <alignment horizontal="center" vertical="center"/>
    </xf>
    <xf numFmtId="0" fontId="23" fillId="2" borderId="52" xfId="0" applyFont="1" applyFill="1" applyBorder="1" applyAlignment="1">
      <alignment horizontal="center" vertical="center"/>
    </xf>
    <xf numFmtId="14" fontId="23" fillId="0" borderId="10" xfId="0" applyNumberFormat="1" applyFont="1" applyBorder="1" applyAlignment="1">
      <alignment horizontal="center" vertical="center"/>
    </xf>
    <xf numFmtId="14" fontId="23" fillId="0" borderId="52" xfId="0" applyNumberFormat="1" applyFont="1" applyBorder="1" applyAlignment="1">
      <alignment horizontal="center" vertical="center"/>
    </xf>
    <xf numFmtId="165" fontId="23" fillId="0" borderId="64" xfId="0" applyNumberFormat="1" applyFont="1" applyBorder="1" applyAlignment="1">
      <alignment vertical="center"/>
    </xf>
    <xf numFmtId="165" fontId="23" fillId="0" borderId="58" xfId="0" applyNumberFormat="1" applyFont="1" applyBorder="1" applyAlignment="1">
      <alignment vertical="center"/>
    </xf>
    <xf numFmtId="165" fontId="23" fillId="0" borderId="10" xfId="0" applyNumberFormat="1" applyFont="1" applyBorder="1" applyAlignment="1">
      <alignment horizontal="center" vertical="center"/>
    </xf>
    <xf numFmtId="14" fontId="26" fillId="0" borderId="10" xfId="0" applyNumberFormat="1" applyFont="1" applyBorder="1" applyAlignment="1">
      <alignment horizontal="center" vertical="center"/>
    </xf>
    <xf numFmtId="14" fontId="26" fillId="0" borderId="52" xfId="0" applyNumberFormat="1" applyFont="1" applyBorder="1" applyAlignment="1">
      <alignment horizontal="center" vertical="center"/>
    </xf>
    <xf numFmtId="0" fontId="26" fillId="0" borderId="10" xfId="0" applyFont="1" applyBorder="1" applyAlignment="1">
      <alignment horizontal="center" vertical="center"/>
    </xf>
    <xf numFmtId="0" fontId="26" fillId="0" borderId="52" xfId="0" applyFont="1" applyBorder="1" applyAlignment="1">
      <alignment horizontal="center" vertical="center"/>
    </xf>
    <xf numFmtId="0" fontId="16" fillId="0" borderId="67" xfId="0" applyFont="1" applyBorder="1" applyAlignment="1">
      <alignment horizontal="center" vertical="center" wrapText="1"/>
    </xf>
    <xf numFmtId="0" fontId="16" fillId="0" borderId="63" xfId="0" applyFont="1" applyBorder="1" applyAlignment="1">
      <alignment horizontal="center" vertical="center" wrapText="1"/>
    </xf>
    <xf numFmtId="0" fontId="16" fillId="0" borderId="59" xfId="0" applyFont="1" applyBorder="1" applyAlignment="1">
      <alignment horizontal="center" vertical="center" wrapText="1"/>
    </xf>
    <xf numFmtId="0" fontId="66" fillId="0" borderId="50" xfId="0" applyFont="1" applyBorder="1" applyAlignment="1">
      <alignment horizontal="center"/>
    </xf>
    <xf numFmtId="0" fontId="66" fillId="0" borderId="10" xfId="0" applyFont="1" applyBorder="1" applyAlignment="1">
      <alignment horizontal="center"/>
    </xf>
    <xf numFmtId="0" fontId="66" fillId="0" borderId="52" xfId="0" applyFont="1" applyBorder="1" applyAlignment="1">
      <alignment horizontal="center"/>
    </xf>
    <xf numFmtId="0" fontId="16" fillId="0" borderId="50" xfId="0" applyFont="1" applyBorder="1" applyAlignment="1">
      <alignment horizontal="center"/>
    </xf>
    <xf numFmtId="0" fontId="16" fillId="0" borderId="10" xfId="0" applyFont="1" applyBorder="1" applyAlignment="1">
      <alignment horizontal="center"/>
    </xf>
    <xf numFmtId="0" fontId="16" fillId="0" borderId="52" xfId="0" applyFont="1" applyBorder="1" applyAlignment="1">
      <alignment horizontal="center"/>
    </xf>
    <xf numFmtId="0" fontId="66" fillId="11" borderId="50" xfId="0" applyFont="1" applyFill="1" applyBorder="1" applyAlignment="1">
      <alignment horizontal="center" vertical="center"/>
    </xf>
    <xf numFmtId="0" fontId="66" fillId="11" borderId="10" xfId="0" applyFont="1" applyFill="1" applyBorder="1" applyAlignment="1">
      <alignment horizontal="center" vertical="center"/>
    </xf>
    <xf numFmtId="0" fontId="66" fillId="0" borderId="50" xfId="0" applyFont="1" applyBorder="1" applyAlignment="1">
      <alignment horizontal="center" vertical="center"/>
    </xf>
    <xf numFmtId="0" fontId="66" fillId="0" borderId="10" xfId="0" applyFont="1" applyBorder="1" applyAlignment="1">
      <alignment horizontal="center" vertical="center"/>
    </xf>
    <xf numFmtId="0" fontId="66" fillId="0" borderId="52" xfId="0" applyFont="1" applyBorder="1" applyAlignment="1">
      <alignment horizontal="center" vertical="center"/>
    </xf>
    <xf numFmtId="0" fontId="16" fillId="0" borderId="50" xfId="0" applyFont="1" applyBorder="1" applyAlignment="1">
      <alignment horizontal="center" vertical="justify"/>
    </xf>
    <xf numFmtId="0" fontId="16" fillId="0" borderId="10" xfId="0" applyFont="1" applyBorder="1" applyAlignment="1">
      <alignment horizontal="center" vertical="justify"/>
    </xf>
    <xf numFmtId="0" fontId="16" fillId="0" borderId="52" xfId="0" applyFont="1" applyBorder="1" applyAlignment="1">
      <alignment horizontal="center" vertical="justify"/>
    </xf>
    <xf numFmtId="0" fontId="67" fillId="0" borderId="60" xfId="0" applyFont="1" applyBorder="1" applyAlignment="1">
      <alignment horizontal="center" vertical="center" wrapText="1"/>
    </xf>
    <xf numFmtId="0" fontId="67" fillId="0" borderId="61" xfId="0" applyFont="1" applyBorder="1" applyAlignment="1">
      <alignment horizontal="center" vertical="center" wrapText="1"/>
    </xf>
    <xf numFmtId="0" fontId="67" fillId="0" borderId="62"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52" xfId="0" applyFont="1" applyBorder="1" applyAlignment="1">
      <alignment horizontal="center" vertical="center" wrapText="1"/>
    </xf>
    <xf numFmtId="0" fontId="66" fillId="38" borderId="50" xfId="0" applyFont="1" applyFill="1" applyBorder="1" applyAlignment="1">
      <alignment horizontal="center" vertical="center"/>
    </xf>
    <xf numFmtId="0" fontId="66" fillId="38" borderId="10" xfId="0" applyFont="1" applyFill="1" applyBorder="1" applyAlignment="1">
      <alignment horizontal="center" vertical="center"/>
    </xf>
    <xf numFmtId="0" fontId="66" fillId="38" borderId="52" xfId="0" applyFont="1" applyFill="1" applyBorder="1" applyAlignment="1">
      <alignment horizontal="center" vertical="center"/>
    </xf>
    <xf numFmtId="0" fontId="16" fillId="0" borderId="10" xfId="0" applyFont="1" applyBorder="1" applyAlignment="1">
      <alignment horizontal="left" vertical="center" wrapText="1"/>
    </xf>
    <xf numFmtId="0" fontId="16" fillId="0" borderId="52" xfId="0" applyFont="1" applyBorder="1" applyAlignment="1">
      <alignment horizontal="left" vertical="center" wrapText="1"/>
    </xf>
    <xf numFmtId="164" fontId="7" fillId="0" borderId="6" xfId="8" applyFont="1" applyFill="1" applyBorder="1" applyAlignment="1">
      <alignment horizontal="center" vertical="center" wrapText="1"/>
    </xf>
    <xf numFmtId="164" fontId="7" fillId="0" borderId="3" xfId="8" applyFont="1" applyFill="1" applyBorder="1" applyAlignment="1">
      <alignment horizontal="center" vertical="center" wrapText="1"/>
    </xf>
    <xf numFmtId="164" fontId="7" fillId="2" borderId="7" xfId="8" applyFont="1" applyFill="1" applyBorder="1" applyAlignment="1">
      <alignment horizontal="center" vertical="center" wrapText="1"/>
    </xf>
    <xf numFmtId="164" fontId="7" fillId="2" borderId="8" xfId="8" applyFont="1" applyFill="1" applyBorder="1" applyAlignment="1">
      <alignment horizontal="center" vertical="center" wrapText="1"/>
    </xf>
    <xf numFmtId="0" fontId="6" fillId="0" borderId="11" xfId="0" applyFont="1" applyBorder="1" applyAlignment="1">
      <alignment horizontal="center" vertical="center"/>
    </xf>
    <xf numFmtId="0" fontId="6" fillId="0" borderId="43" xfId="0" applyFont="1" applyBorder="1" applyAlignment="1">
      <alignment horizontal="center" vertical="center"/>
    </xf>
    <xf numFmtId="0" fontId="6" fillId="0" borderId="5" xfId="0" applyFont="1" applyBorder="1" applyAlignment="1">
      <alignment horizontal="center" vertical="center"/>
    </xf>
    <xf numFmtId="164" fontId="7" fillId="0" borderId="16" xfId="8" applyFont="1" applyFill="1" applyBorder="1" applyAlignment="1">
      <alignment horizontal="center" vertical="center" wrapText="1"/>
    </xf>
    <xf numFmtId="0" fontId="6" fillId="0" borderId="2" xfId="0" applyFont="1" applyBorder="1" applyAlignment="1">
      <alignment horizontal="center" vertical="center"/>
    </xf>
    <xf numFmtId="164" fontId="10" fillId="0" borderId="2" xfId="8" applyFont="1" applyFill="1" applyBorder="1" applyAlignment="1">
      <alignment horizontal="center" vertical="center"/>
    </xf>
    <xf numFmtId="164" fontId="10" fillId="0" borderId="2" xfId="8" applyFont="1" applyFill="1" applyBorder="1" applyAlignment="1">
      <alignment horizontal="center" vertical="center" wrapText="1"/>
    </xf>
    <xf numFmtId="164" fontId="7" fillId="0" borderId="3" xfId="8" applyFont="1" applyBorder="1" applyAlignment="1">
      <alignment horizontal="center" vertical="center" wrapText="1"/>
    </xf>
    <xf numFmtId="164" fontId="7" fillId="2" borderId="56" xfId="8" applyFont="1" applyFill="1" applyBorder="1" applyAlignment="1">
      <alignment horizontal="center" vertical="center" wrapText="1"/>
    </xf>
    <xf numFmtId="0" fontId="8" fillId="0" borderId="0" xfId="0" applyFont="1" applyAlignment="1">
      <alignment horizontal="left"/>
    </xf>
    <xf numFmtId="0" fontId="6" fillId="0" borderId="11"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5" xfId="0" applyFont="1" applyBorder="1" applyAlignment="1">
      <alignment horizontal="center" vertical="center" wrapText="1"/>
    </xf>
    <xf numFmtId="0" fontId="27" fillId="0" borderId="0" xfId="0" applyFont="1" applyAlignment="1">
      <alignment horizontal="center" vertical="center" wrapText="1"/>
    </xf>
    <xf numFmtId="10" fontId="13" fillId="3" borderId="1" xfId="5" applyNumberFormat="1" applyFont="1" applyFill="1" applyBorder="1" applyAlignment="1">
      <alignment horizontal="center"/>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 xfId="0" applyFont="1" applyBorder="1" applyAlignment="1">
      <alignment horizontal="center" vertical="center" wrapText="1"/>
    </xf>
    <xf numFmtId="0" fontId="8" fillId="0" borderId="10" xfId="0" applyFont="1" applyBorder="1" applyAlignment="1">
      <alignment horizontal="center"/>
    </xf>
    <xf numFmtId="0" fontId="8" fillId="0" borderId="68" xfId="0" applyFont="1" applyBorder="1" applyAlignment="1">
      <alignment horizontal="center" wrapText="1"/>
    </xf>
    <xf numFmtId="0" fontId="8" fillId="0" borderId="57" xfId="0" applyFont="1" applyBorder="1" applyAlignment="1">
      <alignment horizontal="center" wrapText="1"/>
    </xf>
    <xf numFmtId="0" fontId="0" fillId="0" borderId="1" xfId="0" applyBorder="1" applyAlignment="1">
      <alignment horizontal="center" vertical="center"/>
    </xf>
    <xf numFmtId="0" fontId="0" fillId="0" borderId="0" xfId="0"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49" fontId="6" fillId="0" borderId="2" xfId="0" applyNumberFormat="1" applyFont="1" applyBorder="1" applyAlignment="1">
      <alignment horizontal="center" vertical="center"/>
    </xf>
    <xf numFmtId="0" fontId="7" fillId="5" borderId="6" xfId="0" applyFont="1" applyFill="1" applyBorder="1" applyAlignment="1">
      <alignment horizontal="right" vertical="center"/>
    </xf>
    <xf numFmtId="0" fontId="7" fillId="5" borderId="3" xfId="0" applyFont="1" applyFill="1" applyBorder="1" applyAlignment="1">
      <alignment horizontal="right" vertical="center"/>
    </xf>
    <xf numFmtId="0" fontId="7" fillId="0" borderId="7" xfId="0" applyFont="1" applyBorder="1" applyAlignment="1">
      <alignment horizontal="center"/>
    </xf>
    <xf numFmtId="0" fontId="7" fillId="0" borderId="8" xfId="0" applyFont="1" applyBorder="1" applyAlignment="1">
      <alignment horizontal="center"/>
    </xf>
    <xf numFmtId="0" fontId="7" fillId="0" borderId="41" xfId="0" applyFont="1" applyBorder="1" applyAlignment="1">
      <alignment horizontal="center"/>
    </xf>
    <xf numFmtId="49" fontId="10" fillId="0" borderId="11" xfId="0" applyNumberFormat="1" applyFont="1" applyBorder="1" applyAlignment="1">
      <alignment horizontal="center" vertical="center"/>
    </xf>
    <xf numFmtId="49" fontId="10" fillId="0" borderId="43" xfId="0" applyNumberFormat="1" applyFont="1" applyBorder="1" applyAlignment="1">
      <alignment horizontal="center" vertical="center"/>
    </xf>
    <xf numFmtId="0" fontId="11" fillId="0" borderId="5" xfId="0" applyFont="1" applyBorder="1" applyAlignment="1">
      <alignment horizontal="center" vertical="center"/>
    </xf>
    <xf numFmtId="0" fontId="0" fillId="0" borderId="5" xfId="0" applyBorder="1" applyAlignment="1">
      <alignment horizontal="center" vertical="center"/>
    </xf>
    <xf numFmtId="0" fontId="10" fillId="2" borderId="10" xfId="0" applyFont="1" applyFill="1" applyBorder="1" applyAlignment="1">
      <alignment horizontal="center" vertical="center" wrapText="1"/>
    </xf>
    <xf numFmtId="164" fontId="10" fillId="2" borderId="10" xfId="8" applyFont="1" applyFill="1" applyBorder="1" applyAlignment="1">
      <alignment horizontal="center"/>
    </xf>
    <xf numFmtId="164" fontId="10" fillId="2" borderId="10" xfId="8" quotePrefix="1" applyFont="1" applyFill="1" applyBorder="1" applyAlignment="1">
      <alignment horizontal="center"/>
    </xf>
    <xf numFmtId="0" fontId="10" fillId="2" borderId="10" xfId="0" quotePrefix="1" applyFont="1" applyFill="1" applyBorder="1" applyAlignment="1">
      <alignment horizontal="center" vertical="center" wrapText="1"/>
    </xf>
    <xf numFmtId="0" fontId="4" fillId="0" borderId="0" xfId="0" applyFont="1" applyAlignment="1">
      <alignment horizontal="center" vertical="center" wrapText="1"/>
    </xf>
    <xf numFmtId="10" fontId="8" fillId="0" borderId="1" xfId="5" applyNumberFormat="1" applyFont="1" applyFill="1" applyBorder="1" applyAlignment="1">
      <alignment horizontal="center"/>
    </xf>
    <xf numFmtId="0" fontId="16" fillId="0" borderId="64" xfId="0" applyFont="1" applyBorder="1" applyAlignment="1">
      <alignment horizontal="left" vertical="center" wrapText="1"/>
    </xf>
    <xf numFmtId="0" fontId="16" fillId="0" borderId="48" xfId="0" applyFont="1" applyBorder="1" applyAlignment="1">
      <alignment horizontal="left" vertical="center" wrapText="1"/>
    </xf>
    <xf numFmtId="0" fontId="16" fillId="0" borderId="58" xfId="0" applyFont="1" applyBorder="1" applyAlignment="1">
      <alignment horizontal="left" vertical="center" wrapText="1"/>
    </xf>
    <xf numFmtId="0" fontId="66" fillId="38" borderId="67" xfId="0" applyFont="1" applyFill="1" applyBorder="1" applyAlignment="1">
      <alignment horizontal="center" vertical="center"/>
    </xf>
    <xf numFmtId="0" fontId="66" fillId="38" borderId="63" xfId="0" applyFont="1" applyFill="1" applyBorder="1" applyAlignment="1">
      <alignment horizontal="center" vertical="center"/>
    </xf>
    <xf numFmtId="0" fontId="66" fillId="38" borderId="59" xfId="0" applyFont="1" applyFill="1" applyBorder="1" applyAlignment="1">
      <alignment horizontal="center" vertical="center"/>
    </xf>
    <xf numFmtId="0" fontId="66" fillId="5" borderId="50" xfId="0" applyFont="1" applyFill="1" applyBorder="1" applyAlignment="1">
      <alignment horizontal="right" vertical="center"/>
    </xf>
    <xf numFmtId="0" fontId="66" fillId="5" borderId="10" xfId="0" applyFont="1" applyFill="1" applyBorder="1" applyAlignment="1">
      <alignment horizontal="right" vertical="center"/>
    </xf>
    <xf numFmtId="0" fontId="67" fillId="0" borderId="61" xfId="0" applyFont="1" applyBorder="1" applyAlignment="1">
      <alignment horizontal="center" vertical="center"/>
    </xf>
    <xf numFmtId="0" fontId="67" fillId="0" borderId="62" xfId="0" applyFont="1" applyBorder="1" applyAlignment="1">
      <alignment horizontal="center" vertical="center"/>
    </xf>
    <xf numFmtId="49" fontId="66" fillId="0" borderId="10" xfId="0" applyNumberFormat="1" applyFont="1" applyBorder="1" applyAlignment="1">
      <alignment horizontal="center" vertical="center"/>
    </xf>
    <xf numFmtId="49" fontId="66" fillId="0" borderId="52" xfId="0" applyNumberFormat="1" applyFont="1" applyBorder="1" applyAlignment="1">
      <alignment horizontal="center" vertical="center"/>
    </xf>
    <xf numFmtId="0" fontId="66" fillId="38" borderId="50" xfId="0" applyFont="1" applyFill="1" applyBorder="1" applyAlignment="1">
      <alignment horizontal="center" vertical="center" wrapText="1"/>
    </xf>
    <xf numFmtId="0" fontId="66" fillId="38" borderId="10" xfId="0" applyFont="1" applyFill="1" applyBorder="1" applyAlignment="1">
      <alignment horizontal="center" vertical="center" wrapText="1"/>
    </xf>
    <xf numFmtId="0" fontId="66" fillId="38" borderId="52" xfId="0" applyFont="1" applyFill="1" applyBorder="1" applyAlignment="1">
      <alignment horizontal="center" vertical="center" wrapText="1"/>
    </xf>
    <xf numFmtId="49" fontId="66" fillId="0" borderId="50" xfId="0" applyNumberFormat="1" applyFont="1" applyBorder="1" applyAlignment="1">
      <alignment horizontal="center" vertical="center"/>
    </xf>
    <xf numFmtId="0" fontId="66" fillId="0" borderId="10" xfId="0" applyFont="1" applyBorder="1" applyAlignment="1">
      <alignment horizontal="center" vertical="center" wrapText="1"/>
    </xf>
    <xf numFmtId="0" fontId="16" fillId="0" borderId="64" xfId="0" applyFont="1" applyBorder="1" applyAlignment="1">
      <alignment horizontal="left" vertical="center"/>
    </xf>
    <xf numFmtId="0" fontId="16" fillId="0" borderId="48" xfId="0" applyFont="1" applyBorder="1" applyAlignment="1">
      <alignment horizontal="left" vertical="center"/>
    </xf>
    <xf numFmtId="0" fontId="16" fillId="0" borderId="93" xfId="0" applyFont="1" applyBorder="1" applyAlignment="1">
      <alignment horizontal="left" vertical="center"/>
    </xf>
    <xf numFmtId="0" fontId="69" fillId="12" borderId="10" xfId="0" quotePrefix="1" applyFont="1" applyFill="1" applyBorder="1" applyAlignment="1">
      <alignment horizontal="center" vertical="center"/>
    </xf>
    <xf numFmtId="0" fontId="69" fillId="12" borderId="52" xfId="0" quotePrefix="1" applyFont="1" applyFill="1" applyBorder="1" applyAlignment="1">
      <alignment horizontal="center" vertical="center"/>
    </xf>
    <xf numFmtId="164" fontId="69" fillId="0" borderId="50" xfId="8" applyFont="1" applyFill="1" applyBorder="1" applyAlignment="1">
      <alignment horizontal="center" vertical="center"/>
    </xf>
    <xf numFmtId="164" fontId="69" fillId="0" borderId="10" xfId="8" applyFont="1" applyFill="1" applyBorder="1" applyAlignment="1">
      <alignment horizontal="center" vertical="center"/>
    </xf>
    <xf numFmtId="164" fontId="69" fillId="0" borderId="52" xfId="8" applyFont="1" applyFill="1" applyBorder="1" applyAlignment="1">
      <alignment horizontal="center" vertical="center"/>
    </xf>
    <xf numFmtId="164" fontId="68" fillId="0" borderId="50" xfId="8" applyFont="1" applyFill="1" applyBorder="1" applyAlignment="1">
      <alignment horizontal="center" vertical="center"/>
    </xf>
    <xf numFmtId="164" fontId="68" fillId="0" borderId="10" xfId="8" applyFont="1" applyFill="1" applyBorder="1" applyAlignment="1">
      <alignment horizontal="center" vertical="center"/>
    </xf>
    <xf numFmtId="0" fontId="69" fillId="0" borderId="10" xfId="0" applyFont="1" applyBorder="1" applyAlignment="1">
      <alignment horizontal="left"/>
    </xf>
    <xf numFmtId="0" fontId="70" fillId="38" borderId="50" xfId="0" applyFont="1" applyFill="1" applyBorder="1" applyAlignment="1">
      <alignment horizontal="center" vertical="center"/>
    </xf>
    <xf numFmtId="0" fontId="70" fillId="38" borderId="10" xfId="0" applyFont="1" applyFill="1" applyBorder="1" applyAlignment="1">
      <alignment horizontal="center" vertical="center"/>
    </xf>
    <xf numFmtId="0" fontId="70" fillId="38" borderId="52" xfId="0" applyFont="1" applyFill="1" applyBorder="1" applyAlignment="1">
      <alignment horizontal="center" vertical="center"/>
    </xf>
    <xf numFmtId="0" fontId="69" fillId="0" borderId="10" xfId="0" applyFont="1" applyBorder="1" applyAlignment="1">
      <alignment horizontal="justify" vertical="justify" wrapText="1"/>
    </xf>
    <xf numFmtId="0" fontId="68" fillId="0" borderId="10" xfId="0" applyFont="1" applyBorder="1" applyAlignment="1">
      <alignment horizontal="center" wrapText="1"/>
    </xf>
    <xf numFmtId="0" fontId="69" fillId="0" borderId="10" xfId="0" applyFont="1" applyBorder="1" applyAlignment="1">
      <alignment horizontal="left" wrapText="1"/>
    </xf>
    <xf numFmtId="0" fontId="68" fillId="0" borderId="50" xfId="0" applyFont="1" applyBorder="1" applyAlignment="1">
      <alignment horizontal="center"/>
    </xf>
    <xf numFmtId="0" fontId="68" fillId="0" borderId="10" xfId="0" applyFont="1" applyBorder="1" applyAlignment="1">
      <alignment horizontal="center"/>
    </xf>
    <xf numFmtId="0" fontId="68" fillId="0" borderId="52" xfId="0" applyFont="1" applyBorder="1" applyAlignment="1">
      <alignment horizontal="center"/>
    </xf>
    <xf numFmtId="0" fontId="68" fillId="0" borderId="50" xfId="0" applyFont="1" applyBorder="1" applyAlignment="1">
      <alignment horizontal="center" vertical="center"/>
    </xf>
    <xf numFmtId="0" fontId="68" fillId="0" borderId="10" xfId="0" applyFont="1" applyBorder="1" applyAlignment="1">
      <alignment horizontal="center" vertical="center"/>
    </xf>
    <xf numFmtId="0" fontId="68" fillId="0" borderId="52" xfId="0" applyFont="1" applyBorder="1" applyAlignment="1">
      <alignment horizontal="center" vertical="center"/>
    </xf>
    <xf numFmtId="0" fontId="68" fillId="0" borderId="67" xfId="0" applyFont="1" applyBorder="1" applyAlignment="1">
      <alignment horizontal="center" vertical="center"/>
    </xf>
    <xf numFmtId="0" fontId="68" fillId="0" borderId="63" xfId="0" applyFont="1" applyBorder="1" applyAlignment="1">
      <alignment horizontal="center" vertical="center"/>
    </xf>
    <xf numFmtId="0" fontId="68" fillId="0" borderId="59" xfId="0" applyFont="1" applyBorder="1" applyAlignment="1">
      <alignment horizontal="center" vertical="center"/>
    </xf>
    <xf numFmtId="164" fontId="68" fillId="0" borderId="52" xfId="8" applyFont="1" applyFill="1" applyBorder="1" applyAlignment="1">
      <alignment horizontal="center" vertical="center"/>
    </xf>
    <xf numFmtId="164" fontId="68" fillId="40" borderId="10" xfId="8" applyFont="1" applyFill="1" applyBorder="1" applyAlignment="1">
      <alignment horizontal="center" vertical="center"/>
    </xf>
    <xf numFmtId="164" fontId="68" fillId="40" borderId="52" xfId="8" applyFont="1" applyFill="1" applyBorder="1" applyAlignment="1">
      <alignment horizontal="center" vertical="center"/>
    </xf>
    <xf numFmtId="164" fontId="68" fillId="39" borderId="50" xfId="8" applyFont="1" applyFill="1" applyBorder="1" applyAlignment="1">
      <alignment horizontal="center" vertical="center"/>
    </xf>
    <xf numFmtId="164" fontId="68" fillId="39" borderId="10" xfId="8" applyFont="1" applyFill="1" applyBorder="1" applyAlignment="1">
      <alignment horizontal="center" vertical="center"/>
    </xf>
    <xf numFmtId="164" fontId="68" fillId="39" borderId="52" xfId="8" applyFont="1" applyFill="1" applyBorder="1" applyAlignment="1">
      <alignment horizontal="center" vertical="center"/>
    </xf>
    <xf numFmtId="0" fontId="6"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7" xfId="0" applyFont="1" applyBorder="1" applyAlignment="1">
      <alignment horizontal="center" vertical="center" wrapText="1"/>
    </xf>
    <xf numFmtId="164" fontId="7" fillId="0" borderId="3" xfId="8" applyFont="1" applyFill="1" applyBorder="1" applyAlignment="1" applyProtection="1">
      <alignment horizontal="center" vertical="center"/>
      <protection locked="0"/>
    </xf>
    <xf numFmtId="164" fontId="7" fillId="0" borderId="51" xfId="8" applyFont="1" applyFill="1" applyBorder="1" applyAlignment="1" applyProtection="1">
      <alignment horizontal="center" vertical="center"/>
      <protection locked="0"/>
    </xf>
    <xf numFmtId="164" fontId="7" fillId="0" borderId="16" xfId="8" applyFont="1" applyFill="1" applyBorder="1" applyAlignment="1" applyProtection="1">
      <alignment horizontal="center" vertical="center"/>
      <protection locked="0"/>
    </xf>
    <xf numFmtId="164" fontId="7" fillId="2" borderId="71" xfId="8" applyFont="1" applyFill="1" applyBorder="1" applyAlignment="1">
      <alignment horizontal="center" vertical="center" wrapText="1"/>
    </xf>
    <xf numFmtId="164" fontId="7" fillId="0" borderId="28" xfId="8" applyFont="1" applyFill="1" applyBorder="1" applyAlignment="1" applyProtection="1">
      <alignment horizontal="center" vertical="center"/>
      <protection locked="0"/>
    </xf>
    <xf numFmtId="164" fontId="7" fillId="0" borderId="8" xfId="8" applyFont="1" applyFill="1" applyBorder="1" applyAlignment="1">
      <alignment horizontal="center" vertical="center" wrapText="1"/>
    </xf>
    <xf numFmtId="164" fontId="7" fillId="2" borderId="72" xfId="8" applyFont="1" applyFill="1" applyBorder="1" applyAlignment="1">
      <alignment horizontal="center" vertical="center" wrapText="1"/>
    </xf>
    <xf numFmtId="164" fontId="7" fillId="5" borderId="8" xfId="0" applyNumberFormat="1" applyFont="1" applyFill="1" applyBorder="1" applyAlignment="1">
      <alignment horizontal="center" vertical="center" wrapText="1"/>
    </xf>
    <xf numFmtId="164" fontId="7" fillId="2" borderId="56" xfId="0" applyNumberFormat="1" applyFont="1" applyFill="1" applyBorder="1" applyAlignment="1">
      <alignment horizontal="center" vertical="center" wrapText="1"/>
    </xf>
    <xf numFmtId="164" fontId="7" fillId="2" borderId="8" xfId="0" applyNumberFormat="1" applyFont="1" applyFill="1" applyBorder="1" applyAlignment="1">
      <alignment horizontal="center" vertical="center" wrapText="1"/>
    </xf>
    <xf numFmtId="4" fontId="7" fillId="0" borderId="3" xfId="0" applyNumberFormat="1" applyFont="1" applyBorder="1" applyAlignment="1">
      <alignment horizontal="center" vertical="center"/>
    </xf>
    <xf numFmtId="4" fontId="7" fillId="0" borderId="16" xfId="0" applyNumberFormat="1" applyFont="1" applyBorder="1" applyAlignment="1">
      <alignment horizontal="center" vertical="center"/>
    </xf>
    <xf numFmtId="0" fontId="7" fillId="0" borderId="2" xfId="0" applyFont="1" applyBorder="1" applyAlignment="1">
      <alignment horizontal="center" vertical="center"/>
    </xf>
    <xf numFmtId="164" fontId="7" fillId="0" borderId="2" xfId="8" applyFont="1" applyFill="1" applyBorder="1" applyAlignment="1">
      <alignment horizontal="center" vertical="center"/>
    </xf>
    <xf numFmtId="164" fontId="7" fillId="0" borderId="2" xfId="8" applyFont="1" applyFill="1" applyBorder="1" applyAlignment="1">
      <alignment horizontal="center" vertical="center" wrapText="1"/>
    </xf>
    <xf numFmtId="0" fontId="6" fillId="0" borderId="73" xfId="0" applyFont="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76" xfId="0" applyFont="1" applyBorder="1" applyAlignment="1">
      <alignment horizontal="center" vertical="center"/>
    </xf>
    <xf numFmtId="0" fontId="6" fillId="0" borderId="77" xfId="0" applyFont="1" applyBorder="1" applyAlignment="1">
      <alignment horizontal="center" vertical="center"/>
    </xf>
    <xf numFmtId="0" fontId="6" fillId="0" borderId="78" xfId="0" applyFont="1" applyBorder="1" applyAlignment="1">
      <alignment horizontal="center" vertical="center"/>
    </xf>
    <xf numFmtId="49" fontId="6" fillId="0" borderId="2" xfId="0" applyNumberFormat="1" applyFont="1" applyBorder="1" applyAlignment="1">
      <alignment horizontal="center"/>
    </xf>
    <xf numFmtId="0" fontId="7" fillId="0" borderId="0" xfId="0" applyFont="1" applyAlignment="1">
      <alignment horizontal="center" vertical="center" wrapText="1"/>
    </xf>
    <xf numFmtId="0" fontId="68" fillId="0" borderId="50" xfId="0" applyFont="1" applyBorder="1" applyAlignment="1">
      <alignment horizontal="left" wrapText="1"/>
    </xf>
    <xf numFmtId="0" fontId="68" fillId="0" borderId="10" xfId="0" applyFont="1" applyBorder="1" applyAlignment="1">
      <alignment horizontal="left" wrapText="1"/>
    </xf>
    <xf numFmtId="0" fontId="68" fillId="0" borderId="52" xfId="0" applyFont="1" applyBorder="1" applyAlignment="1">
      <alignment horizontal="left" wrapText="1"/>
    </xf>
    <xf numFmtId="0" fontId="69" fillId="0" borderId="10" xfId="0" applyFont="1" applyBorder="1" applyAlignment="1">
      <alignment horizontal="center" vertical="center" wrapText="1"/>
    </xf>
    <xf numFmtId="165" fontId="69" fillId="0" borderId="10" xfId="2" applyFont="1" applyFill="1" applyBorder="1" applyAlignment="1">
      <alignment horizontal="center" vertical="center" wrapText="1"/>
    </xf>
    <xf numFmtId="0" fontId="72" fillId="0" borderId="10" xfId="0" applyFont="1" applyBorder="1" applyAlignment="1">
      <alignment horizontal="center" vertical="center"/>
    </xf>
    <xf numFmtId="0" fontId="68" fillId="0" borderId="50" xfId="0" applyFont="1" applyBorder="1" applyAlignment="1">
      <alignment horizontal="center" wrapText="1"/>
    </xf>
    <xf numFmtId="0" fontId="68" fillId="0" borderId="52" xfId="0" applyFont="1" applyBorder="1" applyAlignment="1">
      <alignment horizontal="center" wrapText="1"/>
    </xf>
    <xf numFmtId="173" fontId="68" fillId="0" borderId="50" xfId="0" applyNumberFormat="1" applyFont="1" applyBorder="1" applyAlignment="1">
      <alignment horizontal="center" vertical="center"/>
    </xf>
    <xf numFmtId="173" fontId="68" fillId="0" borderId="10" xfId="0" applyNumberFormat="1" applyFont="1" applyBorder="1" applyAlignment="1">
      <alignment horizontal="center" vertical="center"/>
    </xf>
    <xf numFmtId="173" fontId="68" fillId="0" borderId="52" xfId="0" applyNumberFormat="1" applyFont="1" applyBorder="1" applyAlignment="1">
      <alignment horizontal="center" vertical="center"/>
    </xf>
    <xf numFmtId="165" fontId="73" fillId="0" borderId="10" xfId="2" applyFont="1" applyFill="1" applyBorder="1" applyAlignment="1">
      <alignment horizontal="center" vertical="center" wrapText="1"/>
    </xf>
    <xf numFmtId="0" fontId="68" fillId="0" borderId="10" xfId="0" applyFont="1" applyBorder="1" applyAlignment="1">
      <alignment horizontal="center" vertical="center" wrapText="1"/>
    </xf>
    <xf numFmtId="0" fontId="73" fillId="0" borderId="10" xfId="0" applyFont="1" applyBorder="1" applyAlignment="1">
      <alignment horizontal="center" vertical="center" wrapText="1"/>
    </xf>
    <xf numFmtId="0" fontId="72" fillId="0" borderId="10" xfId="0" applyFont="1" applyBorder="1" applyAlignment="1">
      <alignment horizontal="right" vertical="center" wrapText="1"/>
    </xf>
    <xf numFmtId="0" fontId="72" fillId="0" borderId="50" xfId="0" applyFont="1" applyBorder="1" applyAlignment="1">
      <alignment horizontal="center" vertical="center"/>
    </xf>
    <xf numFmtId="0" fontId="71" fillId="0" borderId="50" xfId="0" applyFont="1" applyBorder="1" applyAlignment="1">
      <alignment horizontal="right" vertical="center" wrapText="1"/>
    </xf>
    <xf numFmtId="0" fontId="71" fillId="0" borderId="10" xfId="0" applyFont="1" applyBorder="1" applyAlignment="1">
      <alignment horizontal="right" vertical="center" wrapText="1"/>
    </xf>
    <xf numFmtId="0" fontId="71" fillId="11" borderId="50" xfId="0" applyFont="1" applyFill="1" applyBorder="1" applyAlignment="1">
      <alignment horizontal="center" vertical="center"/>
    </xf>
    <xf numFmtId="0" fontId="71" fillId="11" borderId="10" xfId="0" applyFont="1" applyFill="1" applyBorder="1" applyAlignment="1">
      <alignment horizontal="center" vertical="center"/>
    </xf>
    <xf numFmtId="0" fontId="71" fillId="11" borderId="10" xfId="0" quotePrefix="1" applyFont="1" applyFill="1" applyBorder="1" applyAlignment="1">
      <alignment horizontal="center" vertical="center"/>
    </xf>
    <xf numFmtId="0" fontId="71" fillId="11" borderId="52" xfId="0" quotePrefix="1" applyFont="1" applyFill="1" applyBorder="1" applyAlignment="1">
      <alignment horizontal="center" vertical="center"/>
    </xf>
    <xf numFmtId="0" fontId="69" fillId="0" borderId="50" xfId="0" applyFont="1" applyBorder="1" applyAlignment="1">
      <alignment horizontal="center"/>
    </xf>
    <xf numFmtId="0" fontId="69" fillId="0" borderId="10" xfId="0" applyFont="1" applyBorder="1" applyAlignment="1">
      <alignment horizontal="center"/>
    </xf>
    <xf numFmtId="0" fontId="69" fillId="0" borderId="52" xfId="0" applyFont="1" applyBorder="1" applyAlignment="1">
      <alignment horizontal="center"/>
    </xf>
    <xf numFmtId="0" fontId="72" fillId="0" borderId="50" xfId="0" applyFont="1" applyBorder="1" applyAlignment="1">
      <alignment horizontal="right" vertical="center" wrapText="1"/>
    </xf>
    <xf numFmtId="0" fontId="68" fillId="11" borderId="10" xfId="0" quotePrefix="1" applyFont="1" applyFill="1" applyBorder="1" applyAlignment="1">
      <alignment horizontal="center" vertical="center"/>
    </xf>
    <xf numFmtId="0" fontId="68" fillId="11" borderId="52" xfId="0" quotePrefix="1" applyFont="1" applyFill="1" applyBorder="1" applyAlignment="1">
      <alignment horizontal="center" vertical="center"/>
    </xf>
    <xf numFmtId="165" fontId="72" fillId="0" borderId="10" xfId="2" applyFont="1" applyFill="1" applyBorder="1" applyAlignment="1">
      <alignment horizontal="center" vertical="center" wrapText="1"/>
    </xf>
    <xf numFmtId="165" fontId="72" fillId="0" borderId="52" xfId="2" applyFont="1" applyFill="1" applyBorder="1" applyAlignment="1">
      <alignment horizontal="center" vertical="center" wrapText="1"/>
    </xf>
    <xf numFmtId="0" fontId="68" fillId="0" borderId="10" xfId="0" applyFont="1" applyBorder="1" applyAlignment="1">
      <alignment horizontal="center" vertical="justify"/>
    </xf>
    <xf numFmtId="0" fontId="68" fillId="0" borderId="50" xfId="0" applyFont="1" applyBorder="1" applyAlignment="1">
      <alignment horizontal="left" vertical="center" wrapText="1"/>
    </xf>
    <xf numFmtId="0" fontId="68" fillId="0" borderId="10" xfId="0" applyFont="1" applyBorder="1" applyAlignment="1">
      <alignment horizontal="left" vertical="center" wrapText="1"/>
    </xf>
    <xf numFmtId="0" fontId="68" fillId="0" borderId="52" xfId="0" applyFont="1" applyBorder="1" applyAlignment="1">
      <alignment horizontal="left" vertical="center" wrapText="1"/>
    </xf>
    <xf numFmtId="0" fontId="69" fillId="0" borderId="50" xfId="0" applyFont="1" applyBorder="1" applyAlignment="1">
      <alignment horizontal="center" vertical="center"/>
    </xf>
    <xf numFmtId="0" fontId="69" fillId="0" borderId="10" xfId="0" applyFont="1" applyBorder="1" applyAlignment="1">
      <alignment horizontal="center" vertical="center"/>
    </xf>
    <xf numFmtId="0" fontId="69" fillId="0" borderId="52" xfId="0" applyFont="1" applyBorder="1" applyAlignment="1">
      <alignment horizontal="center" vertical="center"/>
    </xf>
    <xf numFmtId="0" fontId="68" fillId="0" borderId="52" xfId="0" applyFont="1" applyBorder="1" applyAlignment="1">
      <alignment horizontal="center" vertical="justify"/>
    </xf>
    <xf numFmtId="0" fontId="74" fillId="0" borderId="50" xfId="0" applyFont="1" applyBorder="1" applyAlignment="1">
      <alignment horizontal="center" vertical="center"/>
    </xf>
    <xf numFmtId="0" fontId="74" fillId="0" borderId="10" xfId="0" applyFont="1" applyBorder="1" applyAlignment="1">
      <alignment horizontal="center" vertical="center"/>
    </xf>
    <xf numFmtId="0" fontId="74" fillId="0" borderId="52" xfId="0" applyFont="1" applyBorder="1" applyAlignment="1">
      <alignment horizontal="center" vertical="center"/>
    </xf>
    <xf numFmtId="10" fontId="69" fillId="0" borderId="10" xfId="0" applyNumberFormat="1" applyFont="1" applyBorder="1" applyAlignment="1">
      <alignment horizontal="left"/>
    </xf>
    <xf numFmtId="10" fontId="69" fillId="0" borderId="52" xfId="0" applyNumberFormat="1" applyFont="1" applyBorder="1" applyAlignment="1">
      <alignment horizontal="left"/>
    </xf>
    <xf numFmtId="0" fontId="68" fillId="0" borderId="50" xfId="0" applyFont="1" applyBorder="1" applyAlignment="1">
      <alignment horizontal="right" vertical="center"/>
    </xf>
    <xf numFmtId="0" fontId="68" fillId="0" borderId="10" xfId="0" applyFont="1" applyBorder="1" applyAlignment="1">
      <alignment horizontal="right" vertical="center"/>
    </xf>
    <xf numFmtId="0" fontId="68" fillId="0" borderId="10" xfId="0" applyFont="1" applyBorder="1" applyAlignment="1">
      <alignment horizontal="left"/>
    </xf>
    <xf numFmtId="0" fontId="68" fillId="0" borderId="52" xfId="0" applyFont="1" applyBorder="1" applyAlignment="1">
      <alignment horizontal="left"/>
    </xf>
    <xf numFmtId="0" fontId="68" fillId="0" borderId="50" xfId="0" applyFont="1" applyBorder="1" applyAlignment="1">
      <alignment horizontal="left"/>
    </xf>
    <xf numFmtId="0" fontId="69" fillId="0" borderId="10" xfId="0" applyFont="1" applyBorder="1" applyAlignment="1">
      <alignment horizontal="left" vertical="justify" wrapText="1"/>
    </xf>
    <xf numFmtId="0" fontId="68" fillId="0" borderId="50" xfId="0" applyFont="1" applyBorder="1" applyAlignment="1">
      <alignment horizontal="left" vertical="center"/>
    </xf>
    <xf numFmtId="0" fontId="68" fillId="0" borderId="10" xfId="0" applyFont="1" applyBorder="1" applyAlignment="1">
      <alignment horizontal="left" vertical="center"/>
    </xf>
    <xf numFmtId="0" fontId="68" fillId="0" borderId="52" xfId="0" applyFont="1" applyBorder="1" applyAlignment="1">
      <alignment horizontal="left" vertical="center"/>
    </xf>
    <xf numFmtId="14" fontId="69" fillId="0" borderId="10" xfId="0" applyNumberFormat="1" applyFont="1" applyBorder="1" applyAlignment="1">
      <alignment horizontal="left"/>
    </xf>
    <xf numFmtId="14" fontId="69" fillId="0" borderId="52" xfId="0" applyNumberFormat="1" applyFont="1" applyBorder="1" applyAlignment="1">
      <alignment horizontal="left"/>
    </xf>
    <xf numFmtId="0" fontId="68" fillId="11" borderId="10" xfId="0" quotePrefix="1" applyFont="1" applyFill="1" applyBorder="1" applyAlignment="1">
      <alignment horizontal="center" vertical="center" wrapText="1"/>
    </xf>
    <xf numFmtId="0" fontId="68" fillId="11" borderId="52" xfId="0" quotePrefix="1" applyFont="1" applyFill="1" applyBorder="1" applyAlignment="1">
      <alignment horizontal="center" vertical="center" wrapText="1"/>
    </xf>
    <xf numFmtId="0" fontId="72" fillId="0" borderId="50" xfId="0" applyFont="1" applyBorder="1" applyAlignment="1">
      <alignment horizontal="center" vertical="center" wrapText="1"/>
    </xf>
    <xf numFmtId="0" fontId="72" fillId="0" borderId="10" xfId="0" applyFont="1" applyBorder="1" applyAlignment="1">
      <alignment horizontal="center" vertical="center" wrapText="1"/>
    </xf>
    <xf numFmtId="0" fontId="69" fillId="0" borderId="64" xfId="0" applyFont="1" applyBorder="1" applyAlignment="1">
      <alignment horizontal="center" wrapText="1"/>
    </xf>
    <xf numFmtId="0" fontId="69" fillId="0" borderId="48" xfId="0" applyFont="1" applyBorder="1" applyAlignment="1">
      <alignment horizontal="center" wrapText="1"/>
    </xf>
    <xf numFmtId="0" fontId="69" fillId="0" borderId="58" xfId="0" applyFont="1" applyBorder="1" applyAlignment="1">
      <alignment horizontal="center" wrapText="1"/>
    </xf>
    <xf numFmtId="0" fontId="69" fillId="0" borderId="52" xfId="0" applyFont="1" applyBorder="1" applyAlignment="1">
      <alignment horizontal="left" vertical="justify" wrapText="1"/>
    </xf>
    <xf numFmtId="0" fontId="68" fillId="11" borderId="10" xfId="0" applyFont="1" applyFill="1" applyBorder="1" applyAlignment="1">
      <alignment horizontal="center" vertical="center"/>
    </xf>
    <xf numFmtId="0" fontId="68" fillId="11" borderId="52" xfId="0" applyFont="1" applyFill="1" applyBorder="1" applyAlignment="1">
      <alignment horizontal="center" vertical="center"/>
    </xf>
    <xf numFmtId="0" fontId="68" fillId="0" borderId="67" xfId="0" applyFont="1" applyBorder="1" applyAlignment="1">
      <alignment horizontal="left" wrapText="1"/>
    </xf>
    <xf numFmtId="0" fontId="68" fillId="0" borderId="63" xfId="0" applyFont="1" applyBorder="1" applyAlignment="1">
      <alignment horizontal="left" wrapText="1"/>
    </xf>
    <xf numFmtId="0" fontId="68" fillId="0" borderId="59" xfId="0" applyFont="1" applyBorder="1" applyAlignment="1">
      <alignment horizontal="left" wrapText="1"/>
    </xf>
    <xf numFmtId="0" fontId="71" fillId="0" borderId="50" xfId="0" applyFont="1" applyBorder="1" applyAlignment="1">
      <alignment horizontal="center" vertical="center" wrapText="1"/>
    </xf>
    <xf numFmtId="0" fontId="71" fillId="0" borderId="10" xfId="0" applyFont="1" applyBorder="1" applyAlignment="1">
      <alignment horizontal="center" vertical="center" wrapText="1"/>
    </xf>
    <xf numFmtId="0" fontId="69" fillId="0" borderId="50" xfId="0" applyFont="1" applyBorder="1" applyAlignment="1">
      <alignment horizontal="center" vertical="center" wrapText="1"/>
    </xf>
    <xf numFmtId="0" fontId="69" fillId="0" borderId="52" xfId="0" applyFont="1" applyBorder="1" applyAlignment="1">
      <alignment horizontal="center" vertical="center" wrapText="1"/>
    </xf>
    <xf numFmtId="0" fontId="68" fillId="11" borderId="50" xfId="0" applyFont="1" applyFill="1" applyBorder="1" applyAlignment="1">
      <alignment horizontal="center" vertical="center"/>
    </xf>
    <xf numFmtId="0" fontId="71" fillId="11" borderId="10" xfId="0" quotePrefix="1" applyFont="1" applyFill="1" applyBorder="1" applyAlignment="1">
      <alignment horizontal="center" vertical="center" wrapText="1"/>
    </xf>
    <xf numFmtId="0" fontId="71" fillId="11" borderId="52" xfId="0" quotePrefix="1" applyFont="1" applyFill="1" applyBorder="1" applyAlignment="1">
      <alignment horizontal="center" vertical="center" wrapText="1"/>
    </xf>
    <xf numFmtId="165" fontId="72" fillId="0" borderId="10" xfId="2" applyFont="1" applyFill="1" applyBorder="1" applyAlignment="1">
      <alignment horizontal="right" vertical="center" wrapText="1"/>
    </xf>
    <xf numFmtId="165" fontId="72" fillId="0" borderId="52" xfId="2" applyFont="1" applyFill="1" applyBorder="1" applyAlignment="1">
      <alignment horizontal="right" vertical="center" wrapText="1"/>
    </xf>
    <xf numFmtId="0" fontId="72" fillId="0" borderId="50" xfId="0" applyFont="1" applyBorder="1" applyAlignment="1">
      <alignment horizontal="right" vertical="center"/>
    </xf>
    <xf numFmtId="165" fontId="71" fillId="0" borderId="10" xfId="2" applyFont="1" applyFill="1" applyBorder="1" applyAlignment="1">
      <alignment horizontal="right" vertical="center" wrapText="1"/>
    </xf>
    <xf numFmtId="0" fontId="69" fillId="0" borderId="10" xfId="0" applyFont="1" applyBorder="1" applyAlignment="1">
      <alignment horizontal="right" vertical="center"/>
    </xf>
    <xf numFmtId="0" fontId="69" fillId="0" borderId="64" xfId="0" applyFont="1" applyBorder="1" applyAlignment="1">
      <alignment horizontal="center" vertical="center" wrapText="1"/>
    </xf>
    <xf numFmtId="0" fontId="69" fillId="0" borderId="93" xfId="0" applyFont="1" applyBorder="1" applyAlignment="1">
      <alignment horizontal="center" vertical="center" wrapText="1"/>
    </xf>
    <xf numFmtId="165" fontId="69" fillId="0" borderId="64" xfId="2" applyFont="1" applyFill="1" applyBorder="1" applyAlignment="1">
      <alignment horizontal="center" vertical="center" wrapText="1"/>
    </xf>
    <xf numFmtId="165" fontId="69" fillId="0" borderId="93" xfId="2" applyFont="1" applyFill="1" applyBorder="1" applyAlignment="1">
      <alignment horizontal="center" vertical="center" wrapText="1"/>
    </xf>
    <xf numFmtId="0" fontId="76" fillId="11" borderId="50" xfId="4" applyFont="1" applyFill="1" applyBorder="1" applyAlignment="1">
      <alignment horizontal="center" vertical="center"/>
    </xf>
    <xf numFmtId="0" fontId="76" fillId="11" borderId="10" xfId="4" applyFont="1" applyFill="1" applyBorder="1" applyAlignment="1">
      <alignment horizontal="center" vertical="center"/>
    </xf>
    <xf numFmtId="0" fontId="76" fillId="0" borderId="67" xfId="4" applyFont="1" applyBorder="1" applyAlignment="1">
      <alignment horizontal="left"/>
    </xf>
    <xf numFmtId="0" fontId="76" fillId="0" borderId="63" xfId="4" applyFont="1" applyBorder="1" applyAlignment="1">
      <alignment horizontal="left"/>
    </xf>
    <xf numFmtId="0" fontId="76" fillId="0" borderId="59" xfId="4" applyFont="1" applyBorder="1" applyAlignment="1">
      <alignment horizontal="left"/>
    </xf>
    <xf numFmtId="0" fontId="71" fillId="11" borderId="10" xfId="4" applyFont="1" applyFill="1" applyBorder="1" applyAlignment="1">
      <alignment horizontal="center"/>
    </xf>
    <xf numFmtId="0" fontId="71" fillId="11" borderId="52" xfId="4" applyFont="1" applyFill="1" applyBorder="1" applyAlignment="1">
      <alignment horizontal="center"/>
    </xf>
    <xf numFmtId="0" fontId="71" fillId="0" borderId="50" xfId="4" applyFont="1" applyBorder="1" applyAlignment="1">
      <alignment horizontal="center"/>
    </xf>
    <xf numFmtId="0" fontId="71" fillId="0" borderId="10" xfId="4" applyFont="1" applyBorder="1" applyAlignment="1">
      <alignment horizontal="center"/>
    </xf>
    <xf numFmtId="0" fontId="73" fillId="0" borderId="74" xfId="4" applyFont="1" applyBorder="1" applyAlignment="1">
      <alignment horizontal="center"/>
    </xf>
    <xf numFmtId="0" fontId="73" fillId="0" borderId="48" xfId="4" applyFont="1" applyBorder="1" applyAlignment="1">
      <alignment horizontal="center"/>
    </xf>
    <xf numFmtId="0" fontId="73" fillId="0" borderId="58" xfId="4" applyFont="1" applyBorder="1" applyAlignment="1">
      <alignment horizontal="center"/>
    </xf>
    <xf numFmtId="0" fontId="77" fillId="0" borderId="60" xfId="4" applyFont="1" applyBorder="1" applyAlignment="1">
      <alignment horizontal="center" vertical="center"/>
    </xf>
    <xf numFmtId="0" fontId="75" fillId="0" borderId="61" xfId="4" applyFont="1" applyBorder="1" applyAlignment="1">
      <alignment horizontal="center" vertical="center"/>
    </xf>
    <xf numFmtId="0" fontId="75" fillId="0" borderId="62" xfId="4" applyFont="1" applyBorder="1" applyAlignment="1">
      <alignment horizontal="center" vertical="center"/>
    </xf>
    <xf numFmtId="0" fontId="76" fillId="0" borderId="50" xfId="4" applyFont="1" applyBorder="1" applyAlignment="1">
      <alignment horizontal="left" vertical="center"/>
    </xf>
    <xf numFmtId="0" fontId="76" fillId="0" borderId="10" xfId="4" applyFont="1" applyBorder="1" applyAlignment="1">
      <alignment horizontal="left" vertical="center"/>
    </xf>
    <xf numFmtId="0" fontId="76" fillId="0" borderId="52" xfId="4" applyFont="1" applyBorder="1" applyAlignment="1">
      <alignment horizontal="left" vertical="center"/>
    </xf>
    <xf numFmtId="0" fontId="71" fillId="0" borderId="74" xfId="4" applyFont="1" applyBorder="1" applyAlignment="1">
      <alignment horizontal="center"/>
    </xf>
    <xf numFmtId="0" fontId="71" fillId="0" borderId="48" xfId="4" applyFont="1" applyBorder="1" applyAlignment="1">
      <alignment horizontal="center"/>
    </xf>
    <xf numFmtId="0" fontId="71" fillId="0" borderId="58" xfId="4" applyFont="1" applyBorder="1" applyAlignment="1">
      <alignment horizontal="center"/>
    </xf>
    <xf numFmtId="0" fontId="76" fillId="0" borderId="50" xfId="4" applyFont="1" applyBorder="1" applyAlignment="1">
      <alignment horizontal="left"/>
    </xf>
    <xf numFmtId="0" fontId="76" fillId="0" borderId="10" xfId="4" applyFont="1" applyBorder="1" applyAlignment="1">
      <alignment horizontal="left"/>
    </xf>
    <xf numFmtId="0" fontId="76" fillId="0" borderId="52" xfId="4" applyFont="1" applyBorder="1" applyAlignment="1">
      <alignment horizontal="left"/>
    </xf>
    <xf numFmtId="0" fontId="76" fillId="0" borderId="50" xfId="4" applyFont="1" applyBorder="1" applyAlignment="1">
      <alignment horizontal="center" vertical="justify" wrapText="1"/>
    </xf>
    <xf numFmtId="0" fontId="76" fillId="0" borderId="10" xfId="4" applyFont="1" applyBorder="1" applyAlignment="1">
      <alignment horizontal="center" vertical="justify" wrapText="1"/>
    </xf>
    <xf numFmtId="0" fontId="76" fillId="0" borderId="52" xfId="4" applyFont="1" applyBorder="1" applyAlignment="1">
      <alignment horizontal="center" vertical="justify" wrapText="1"/>
    </xf>
    <xf numFmtId="14" fontId="70" fillId="38" borderId="50" xfId="4" applyNumberFormat="1" applyFont="1" applyFill="1" applyBorder="1" applyAlignment="1">
      <alignment horizontal="center" vertical="justify"/>
    </xf>
    <xf numFmtId="14" fontId="70" fillId="38" borderId="10" xfId="4" applyNumberFormat="1" applyFont="1" applyFill="1" applyBorder="1" applyAlignment="1">
      <alignment horizontal="center" vertical="justify"/>
    </xf>
    <xf numFmtId="14" fontId="70" fillId="38" borderId="52" xfId="4" applyNumberFormat="1" applyFont="1" applyFill="1" applyBorder="1" applyAlignment="1">
      <alignment horizontal="center" vertical="justify"/>
    </xf>
    <xf numFmtId="0" fontId="76" fillId="11" borderId="50" xfId="4" applyFont="1" applyFill="1" applyBorder="1" applyAlignment="1">
      <alignment horizontal="center"/>
    </xf>
    <xf numFmtId="0" fontId="76" fillId="11" borderId="10" xfId="4" applyFont="1" applyFill="1" applyBorder="1" applyAlignment="1">
      <alignment horizontal="center"/>
    </xf>
    <xf numFmtId="0" fontId="71" fillId="0" borderId="50" xfId="4" applyFont="1" applyBorder="1" applyAlignment="1">
      <alignment horizontal="left" vertical="center"/>
    </xf>
    <xf numFmtId="0" fontId="71" fillId="0" borderId="10" xfId="4" applyFont="1" applyBorder="1" applyAlignment="1">
      <alignment horizontal="left" vertical="center"/>
    </xf>
    <xf numFmtId="0" fontId="71" fillId="0" borderId="52" xfId="4" applyFont="1" applyBorder="1" applyAlignment="1">
      <alignment horizontal="left" vertical="center"/>
    </xf>
    <xf numFmtId="0" fontId="73" fillId="0" borderId="10" xfId="4" applyFont="1" applyBorder="1" applyAlignment="1">
      <alignment horizontal="left" wrapText="1"/>
    </xf>
    <xf numFmtId="0" fontId="73" fillId="0" borderId="52" xfId="4" applyFont="1" applyBorder="1" applyAlignment="1">
      <alignment horizontal="left" wrapText="1"/>
    </xf>
    <xf numFmtId="0" fontId="0" fillId="0" borderId="50" xfId="0" applyBorder="1" applyAlignment="1">
      <alignment horizontal="center" vertical="center"/>
    </xf>
    <xf numFmtId="0" fontId="0" fillId="0" borderId="10" xfId="0" applyBorder="1" applyAlignment="1">
      <alignment horizontal="center" vertical="center"/>
    </xf>
    <xf numFmtId="0" fontId="0" fillId="0" borderId="52" xfId="0" applyBorder="1" applyAlignment="1">
      <alignment horizontal="center" vertical="center"/>
    </xf>
    <xf numFmtId="0" fontId="0" fillId="0" borderId="67" xfId="0" applyBorder="1" applyAlignment="1">
      <alignment horizontal="center" vertical="center"/>
    </xf>
    <xf numFmtId="0" fontId="0" fillId="0" borderId="63" xfId="0" applyBorder="1" applyAlignment="1">
      <alignment horizontal="center" vertical="center"/>
    </xf>
    <xf numFmtId="0" fontId="0" fillId="0" borderId="59" xfId="0" applyBorder="1" applyAlignment="1">
      <alignment horizontal="center" vertical="center"/>
    </xf>
    <xf numFmtId="0" fontId="16" fillId="0" borderId="10" xfId="0" applyFont="1" applyBorder="1" applyAlignment="1">
      <alignment horizontal="left" vertical="center"/>
    </xf>
    <xf numFmtId="0" fontId="0" fillId="0" borderId="50" xfId="0" applyBorder="1" applyAlignment="1">
      <alignment horizontal="center"/>
    </xf>
    <xf numFmtId="0" fontId="0" fillId="0" borderId="10" xfId="0" applyBorder="1" applyAlignment="1">
      <alignment horizontal="center"/>
    </xf>
    <xf numFmtId="0" fontId="0" fillId="0" borderId="52" xfId="0" applyBorder="1" applyAlignment="1">
      <alignment horizontal="center"/>
    </xf>
    <xf numFmtId="0" fontId="78" fillId="0" borderId="50" xfId="0" applyFont="1" applyBorder="1" applyAlignment="1">
      <alignment horizontal="center" vertical="center" wrapText="1"/>
    </xf>
    <xf numFmtId="0" fontId="66" fillId="0" borderId="69" xfId="0" applyFont="1" applyBorder="1" applyAlignment="1">
      <alignment horizontal="center" vertical="center"/>
    </xf>
    <xf numFmtId="0" fontId="66" fillId="0" borderId="70" xfId="0" applyFont="1" applyBorder="1" applyAlignment="1">
      <alignment horizontal="center" vertical="center"/>
    </xf>
    <xf numFmtId="0" fontId="66" fillId="0" borderId="94" xfId="0" applyFont="1" applyBorder="1" applyAlignment="1">
      <alignment horizontal="center" vertical="center"/>
    </xf>
    <xf numFmtId="0" fontId="2" fillId="0" borderId="34" xfId="0" applyFont="1" applyBorder="1" applyAlignment="1">
      <alignment horizontal="center" vertical="center"/>
    </xf>
    <xf numFmtId="0" fontId="2" fillId="0" borderId="0" xfId="0" applyFont="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1" xfId="0" applyFont="1" applyBorder="1" applyAlignment="1">
      <alignment horizontal="center" vertical="center"/>
    </xf>
    <xf numFmtId="0" fontId="2" fillId="0" borderId="37" xfId="0" applyFont="1" applyBorder="1" applyAlignment="1">
      <alignment horizontal="center" vertical="center"/>
    </xf>
  </cellXfs>
  <cellStyles count="247">
    <cellStyle name="20% - Accent1" xfId="106"/>
    <cellStyle name="20% - Accent1 2" xfId="107"/>
    <cellStyle name="20% - Accent2" xfId="108"/>
    <cellStyle name="20% - Accent2 2" xfId="109"/>
    <cellStyle name="20% - Accent3" xfId="110"/>
    <cellStyle name="20% - Accent3 2" xfId="111"/>
    <cellStyle name="20% - Accent4" xfId="112"/>
    <cellStyle name="20% - Accent4 2" xfId="113"/>
    <cellStyle name="20% - Accent5" xfId="114"/>
    <cellStyle name="20% - Accent5 2" xfId="115"/>
    <cellStyle name="20% - Accent6" xfId="116"/>
    <cellStyle name="20% - Accent6 2" xfId="117"/>
    <cellStyle name="20% - Ênfase1 2" xfId="118"/>
    <cellStyle name="20% - Ênfase1 2 2" xfId="119"/>
    <cellStyle name="20% - Ênfase2 2" xfId="120"/>
    <cellStyle name="20% - Ênfase2 2 2" xfId="121"/>
    <cellStyle name="20% - Ênfase3 2" xfId="122"/>
    <cellStyle name="20% - Ênfase3 2 2" xfId="123"/>
    <cellStyle name="20% - Ênfase4 2" xfId="124"/>
    <cellStyle name="20% - Ênfase4 2 2" xfId="125"/>
    <cellStyle name="20% - Ênfase5 2" xfId="126"/>
    <cellStyle name="20% - Ênfase5 2 2" xfId="127"/>
    <cellStyle name="20% - Ênfase6 2" xfId="128"/>
    <cellStyle name="20% - Ênfase6 2 2" xfId="129"/>
    <cellStyle name="40% - Accent1" xfId="130"/>
    <cellStyle name="40% - Accent1 2" xfId="131"/>
    <cellStyle name="40% - Accent2" xfId="132"/>
    <cellStyle name="40% - Accent2 2" xfId="133"/>
    <cellStyle name="40% - Accent3" xfId="134"/>
    <cellStyle name="40% - Accent3 2" xfId="135"/>
    <cellStyle name="40% - Accent4" xfId="136"/>
    <cellStyle name="40% - Accent4 2" xfId="137"/>
    <cellStyle name="40% - Accent5" xfId="138"/>
    <cellStyle name="40% - Accent5 2" xfId="139"/>
    <cellStyle name="40% - Accent6" xfId="140"/>
    <cellStyle name="40% - Accent6 2" xfId="141"/>
    <cellStyle name="40% - Ênfase1 2" xfId="142"/>
    <cellStyle name="40% - Ênfase1 2 2" xfId="143"/>
    <cellStyle name="40% - Ênfase2 2" xfId="144"/>
    <cellStyle name="40% - Ênfase2 2 2" xfId="145"/>
    <cellStyle name="40% - Ênfase3 2" xfId="146"/>
    <cellStyle name="40% - Ênfase3 2 2" xfId="147"/>
    <cellStyle name="40% - Ênfase4 2" xfId="148"/>
    <cellStyle name="40% - Ênfase4 2 2" xfId="149"/>
    <cellStyle name="40% - Ênfase5 2" xfId="150"/>
    <cellStyle name="40% - Ênfase5 2 2" xfId="151"/>
    <cellStyle name="40% - Ênfase6 2" xfId="152"/>
    <cellStyle name="40% - Ênfase6 2 2" xfId="153"/>
    <cellStyle name="60% - Accent1" xfId="154"/>
    <cellStyle name="60% - Accent2" xfId="155"/>
    <cellStyle name="60% - Accent3" xfId="156"/>
    <cellStyle name="60% - Accent4" xfId="157"/>
    <cellStyle name="60% - Accent5" xfId="158"/>
    <cellStyle name="60% - Accent6" xfId="159"/>
    <cellStyle name="60% - Ênfase1 2" xfId="160"/>
    <cellStyle name="60% - Ênfase2 2" xfId="161"/>
    <cellStyle name="60% - Ênfase3 2" xfId="162"/>
    <cellStyle name="60% - Ênfase4 2" xfId="163"/>
    <cellStyle name="60% - Ênfase5 2" xfId="164"/>
    <cellStyle name="60% - Ênfase6 2" xfId="165"/>
    <cellStyle name="Accent1" xfId="166"/>
    <cellStyle name="Accent2" xfId="167"/>
    <cellStyle name="Accent3" xfId="168"/>
    <cellStyle name="Accent4" xfId="169"/>
    <cellStyle name="Accent5" xfId="170"/>
    <cellStyle name="Accent6" xfId="171"/>
    <cellStyle name="Bad" xfId="172"/>
    <cellStyle name="Bom 2" xfId="173"/>
    <cellStyle name="Calculation" xfId="174"/>
    <cellStyle name="Cálculo 2" xfId="175"/>
    <cellStyle name="Célula de Verificação 2" xfId="176"/>
    <cellStyle name="Célula Vinculada 2" xfId="177"/>
    <cellStyle name="Check Cell" xfId="178"/>
    <cellStyle name="Data" xfId="32"/>
    <cellStyle name="Data 2" xfId="33"/>
    <cellStyle name="Ênfase1 2" xfId="179"/>
    <cellStyle name="Ênfase2 2" xfId="180"/>
    <cellStyle name="Ênfase3 2" xfId="181"/>
    <cellStyle name="Ênfase4 2" xfId="182"/>
    <cellStyle name="Ênfase5 2" xfId="183"/>
    <cellStyle name="Ênfase6 2" xfId="184"/>
    <cellStyle name="Entrada 2" xfId="185"/>
    <cellStyle name="Euro" xfId="1"/>
    <cellStyle name="Euro 10" xfId="35"/>
    <cellStyle name="Euro 11" xfId="36"/>
    <cellStyle name="Euro 12" xfId="34"/>
    <cellStyle name="Euro 2" xfId="37"/>
    <cellStyle name="Euro 2 2" xfId="38"/>
    <cellStyle name="Euro 3" xfId="39"/>
    <cellStyle name="Euro 3 2" xfId="40"/>
    <cellStyle name="Euro 4" xfId="41"/>
    <cellStyle name="Euro 4 2" xfId="42"/>
    <cellStyle name="Euro 5" xfId="43"/>
    <cellStyle name="Euro 5 2" xfId="44"/>
    <cellStyle name="Euro 6" xfId="45"/>
    <cellStyle name="Euro 6 2" xfId="46"/>
    <cellStyle name="Euro 7" xfId="47"/>
    <cellStyle name="Euro 7 2" xfId="48"/>
    <cellStyle name="Euro 8" xfId="49"/>
    <cellStyle name="Euro 8 2" xfId="50"/>
    <cellStyle name="Euro 9" xfId="51"/>
    <cellStyle name="Euro 9 2" xfId="52"/>
    <cellStyle name="Explanatory Text" xfId="186"/>
    <cellStyle name="Fixo" xfId="53"/>
    <cellStyle name="Fixo 2" xfId="54"/>
    <cellStyle name="Good" xfId="187"/>
    <cellStyle name="Heading 1" xfId="188"/>
    <cellStyle name="Heading 2" xfId="189"/>
    <cellStyle name="Heading 3" xfId="190"/>
    <cellStyle name="Heading 4" xfId="191"/>
    <cellStyle name="Incorreto 2" xfId="55"/>
    <cellStyle name="Input" xfId="192"/>
    <cellStyle name="Linked Cell" xfId="193"/>
    <cellStyle name="Moeda" xfId="2" builtinId="4"/>
    <cellStyle name="Moeda 2" xfId="13"/>
    <cellStyle name="Moeda 2 2" xfId="28"/>
    <cellStyle name="Moeda 3" xfId="194"/>
    <cellStyle name="Moeda 4" xfId="226"/>
    <cellStyle name="Moeda 5" xfId="23"/>
    <cellStyle name="Moeda 9" xfId="29"/>
    <cellStyle name="Moeda_Medição_EE 13 de Maio reforma parcial prefeitura abril de 2007" xfId="3"/>
    <cellStyle name="Neutra 2" xfId="56"/>
    <cellStyle name="Neutral" xfId="195"/>
    <cellStyle name="Normal" xfId="0" builtinId="0"/>
    <cellStyle name="Normal 10" xfId="57"/>
    <cellStyle name="Normal 10 2" xfId="105"/>
    <cellStyle name="Normal 11" xfId="31"/>
    <cellStyle name="Normal 12" xfId="18"/>
    <cellStyle name="Normal 13" xfId="30"/>
    <cellStyle name="Normal 14" xfId="104"/>
    <cellStyle name="Normal 14 2" xfId="197"/>
    <cellStyle name="Normal 14 3" xfId="196"/>
    <cellStyle name="Normal 14 5" xfId="198"/>
    <cellStyle name="Normal 15" xfId="223"/>
    <cellStyle name="Normal 16" xfId="17"/>
    <cellStyle name="Normal 17" xfId="232"/>
    <cellStyle name="Normal 18" xfId="233"/>
    <cellStyle name="Normal 19" xfId="235"/>
    <cellStyle name="Normal 2" xfId="10"/>
    <cellStyle name="Normal 2 2" xfId="21"/>
    <cellStyle name="Normal 2 2 2" xfId="58"/>
    <cellStyle name="Normal 2 3" xfId="59"/>
    <cellStyle name="Normal 2 4" xfId="15"/>
    <cellStyle name="Normal 2 5" xfId="199"/>
    <cellStyle name="Normal 2 6" xfId="200"/>
    <cellStyle name="Normal 2 6 2" xfId="201"/>
    <cellStyle name="Normal 2 7" xfId="245"/>
    <cellStyle name="Normal 2_Planilha de Solucoes e  Quantidades   -BR251MG" xfId="60"/>
    <cellStyle name="Normal 20" xfId="234"/>
    <cellStyle name="Normal 21" xfId="225"/>
    <cellStyle name="Normal 22" xfId="240"/>
    <cellStyle name="Normal 23" xfId="224"/>
    <cellStyle name="Normal 24" xfId="230"/>
    <cellStyle name="Normal 25" xfId="238"/>
    <cellStyle name="Normal 26" xfId="236"/>
    <cellStyle name="Normal 27" xfId="239"/>
    <cellStyle name="Normal 28" xfId="242"/>
    <cellStyle name="Normal 29" xfId="241"/>
    <cellStyle name="Normal 3" xfId="11"/>
    <cellStyle name="Normal 3 2" xfId="62"/>
    <cellStyle name="Normal 3 3" xfId="4"/>
    <cellStyle name="Normal 3 3 2" xfId="202"/>
    <cellStyle name="Normal 3 3 3" xfId="61"/>
    <cellStyle name="Normal 3 4" xfId="246"/>
    <cellStyle name="Normal 30" xfId="237"/>
    <cellStyle name="Normal 31" xfId="231"/>
    <cellStyle name="Normal 32" xfId="244"/>
    <cellStyle name="Normal 33" xfId="243"/>
    <cellStyle name="Normal 34" xfId="229"/>
    <cellStyle name="Normal 35" xfId="9"/>
    <cellStyle name="Normal 4" xfId="63"/>
    <cellStyle name="Normal 5" xfId="64"/>
    <cellStyle name="Normal 6" xfId="65"/>
    <cellStyle name="Normal 7" xfId="66"/>
    <cellStyle name="Normal 8" xfId="67"/>
    <cellStyle name="Normal 9" xfId="68"/>
    <cellStyle name="Nota 2" xfId="203"/>
    <cellStyle name="Nota 2 2" xfId="204"/>
    <cellStyle name="Note" xfId="205"/>
    <cellStyle name="Note 2" xfId="206"/>
    <cellStyle name="Output" xfId="207"/>
    <cellStyle name="Percentual" xfId="69"/>
    <cellStyle name="Percentual 2" xfId="70"/>
    <cellStyle name="Ponto" xfId="71"/>
    <cellStyle name="Ponto 2" xfId="72"/>
    <cellStyle name="Porcentagem" xfId="5" builtinId="5"/>
    <cellStyle name="Porcentagem 2" xfId="14"/>
    <cellStyle name="Porcentagem 2 2" xfId="22"/>
    <cellStyle name="Porcentagem 3" xfId="228"/>
    <cellStyle name="Porcentagem 3 2" xfId="6"/>
    <cellStyle name="Porcentagem 4" xfId="25"/>
    <cellStyle name="Porcentagem 5" xfId="7"/>
    <cellStyle name="Saída 2" xfId="208"/>
    <cellStyle name="Separador de m" xfId="73"/>
    <cellStyle name="Separador de m 2" xfId="74"/>
    <cellStyle name="Separador de milhares 19 2" xfId="26"/>
    <cellStyle name="Separador de milhares 19 2 3" xfId="27"/>
    <cellStyle name="Separador de milhares 2" xfId="75"/>
    <cellStyle name="Separador de milhares 2 2" xfId="76"/>
    <cellStyle name="Separador de milhares 2 3" xfId="20"/>
    <cellStyle name="Separador de milhares 3" xfId="77"/>
    <cellStyle name="Separador de milhares 4" xfId="78"/>
    <cellStyle name="Separador de milhares 4 2" xfId="209"/>
    <cellStyle name="Texto de Aviso 2" xfId="210"/>
    <cellStyle name="Texto Explicativo 2" xfId="211"/>
    <cellStyle name="Title" xfId="212"/>
    <cellStyle name="Título 1 2" xfId="213"/>
    <cellStyle name="Título 2 2" xfId="214"/>
    <cellStyle name="Título 3 2" xfId="215"/>
    <cellStyle name="Título 4 2" xfId="216"/>
    <cellStyle name="Título 5" xfId="217"/>
    <cellStyle name="Titulo1" xfId="79"/>
    <cellStyle name="Titulo1 2" xfId="80"/>
    <cellStyle name="Titulo2" xfId="81"/>
    <cellStyle name="Titulo2 2" xfId="82"/>
    <cellStyle name="Total 2" xfId="84"/>
    <cellStyle name="Total 2 2" xfId="218"/>
    <cellStyle name="Total 3" xfId="85"/>
    <cellStyle name="Total 4" xfId="83"/>
    <cellStyle name="Vírgula" xfId="8" builtinId="3"/>
    <cellStyle name="Vírgula 10" xfId="86"/>
    <cellStyle name="Vírgula 11" xfId="87"/>
    <cellStyle name="Vírgula 12" xfId="219"/>
    <cellStyle name="Vírgula 12 2" xfId="220"/>
    <cellStyle name="Vírgula 13" xfId="227"/>
    <cellStyle name="Vírgula 14" xfId="24"/>
    <cellStyle name="Vírgula 2" xfId="12"/>
    <cellStyle name="Vírgula 2 2" xfId="89"/>
    <cellStyle name="Vírgula 2 3" xfId="90"/>
    <cellStyle name="Vírgula 2 4" xfId="88"/>
    <cellStyle name="Vírgula 3" xfId="16"/>
    <cellStyle name="Vírgula 3 2" xfId="91"/>
    <cellStyle name="Vírgula 4" xfId="92"/>
    <cellStyle name="Vírgula 4 2" xfId="93"/>
    <cellStyle name="Vírgula 4 3" xfId="221"/>
    <cellStyle name="Vírgula 5" xfId="94"/>
    <cellStyle name="Vírgula 5 2" xfId="95"/>
    <cellStyle name="Vírgula 6" xfId="96"/>
    <cellStyle name="Vírgula 6 2" xfId="97"/>
    <cellStyle name="Vírgula 7" xfId="98"/>
    <cellStyle name="Vírgula 7 2" xfId="99"/>
    <cellStyle name="Vírgula 8" xfId="19"/>
    <cellStyle name="Vírgula 8 2" xfId="101"/>
    <cellStyle name="Vírgula 8 3" xfId="100"/>
    <cellStyle name="Vírgula 9" xfId="102"/>
    <cellStyle name="Vírgula 9 2" xfId="103"/>
    <cellStyle name="Warning Text" xfId="222"/>
  </cellStyles>
  <dxfs count="7">
    <dxf>
      <font>
        <b/>
        <i val="0"/>
        <condense val="0"/>
        <extend val="0"/>
        <color indexed="10"/>
      </font>
      <fill>
        <patternFill patternType="solid">
          <bgColor indexed="22"/>
        </patternFill>
      </fill>
    </dxf>
    <dxf>
      <font>
        <b/>
        <i val="0"/>
        <condense val="0"/>
        <extend val="0"/>
        <color indexed="10"/>
      </font>
      <fill>
        <patternFill patternType="solid">
          <bgColor indexed="22"/>
        </patternFill>
      </fill>
    </dxf>
    <dxf>
      <font>
        <b/>
        <i val="0"/>
        <condense val="0"/>
        <extend val="0"/>
        <color indexed="10"/>
      </font>
      <fill>
        <patternFill patternType="solid">
          <bgColor indexed="22"/>
        </patternFill>
      </fill>
    </dxf>
    <dxf>
      <font>
        <b/>
        <i val="0"/>
        <condense val="0"/>
        <extend val="0"/>
        <color indexed="10"/>
      </font>
      <fill>
        <patternFill patternType="solid">
          <bgColor indexed="22"/>
        </patternFill>
      </fill>
    </dxf>
    <dxf>
      <font>
        <b/>
        <i val="0"/>
        <condense val="0"/>
        <extend val="0"/>
        <color indexed="10"/>
      </font>
      <fill>
        <patternFill patternType="none">
          <bgColor indexed="65"/>
        </patternFill>
      </fill>
    </dxf>
    <dxf>
      <font>
        <b/>
        <i val="0"/>
        <condense val="0"/>
        <extend val="0"/>
        <color indexed="10"/>
      </font>
      <fill>
        <patternFill patternType="solid">
          <bgColor indexed="22"/>
        </patternFill>
      </fill>
    </dxf>
    <dxf>
      <font>
        <b/>
        <i val="0"/>
        <condense val="0"/>
        <extend val="0"/>
        <color indexed="10"/>
      </font>
      <fill>
        <patternFill patternType="none">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microsoft.com/office/2017/10/relationships/person" Target="persons/person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6.jpeg"/><Relationship Id="rId4"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5.png"/><Relationship Id="rId1" Type="http://schemas.openxmlformats.org/officeDocument/2006/relationships/image" Target="../media/image4.jpeg"/><Relationship Id="rId4" Type="http://schemas.openxmlformats.org/officeDocument/2006/relationships/image" Target="../media/image9.emf"/></Relationships>
</file>

<file path=xl/drawings/_rels/drawing2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jpeg"/><Relationship Id="rId3" Type="http://schemas.openxmlformats.org/officeDocument/2006/relationships/image" Target="../media/image11.jpg"/><Relationship Id="rId7" Type="http://schemas.openxmlformats.org/officeDocument/2006/relationships/image" Target="../media/image15.jpg"/><Relationship Id="rId12" Type="http://schemas.openxmlformats.org/officeDocument/2006/relationships/image" Target="../media/image20.jpeg"/><Relationship Id="rId2" Type="http://schemas.openxmlformats.org/officeDocument/2006/relationships/image" Target="../media/image10.png"/><Relationship Id="rId1" Type="http://schemas.openxmlformats.org/officeDocument/2006/relationships/image" Target="../media/image4.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g"/><Relationship Id="rId10" Type="http://schemas.openxmlformats.org/officeDocument/2006/relationships/image" Target="../media/image18.jpg"/><Relationship Id="rId4" Type="http://schemas.openxmlformats.org/officeDocument/2006/relationships/image" Target="../media/image12.jpg"/><Relationship Id="rId9" Type="http://schemas.openxmlformats.org/officeDocument/2006/relationships/image" Target="../media/image17.jpeg"/><Relationship Id="rId14" Type="http://schemas.openxmlformats.org/officeDocument/2006/relationships/image" Target="../media/image22.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49314" name="Picture 1">
          <a:extLst>
            <a:ext uri="{FF2B5EF4-FFF2-40B4-BE49-F238E27FC236}">
              <a16:creationId xmlns:a16="http://schemas.microsoft.com/office/drawing/2014/main" id="{DF3195B0-43EF-4E21-8BF2-278AF52D20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49315" name="Picture 2" descr="BRASAO">
          <a:extLst>
            <a:ext uri="{FF2B5EF4-FFF2-40B4-BE49-F238E27FC236}">
              <a16:creationId xmlns:a16="http://schemas.microsoft.com/office/drawing/2014/main" id="{A0F3874B-D0F6-4F5F-9FDF-FFA421675B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49316" name="Picture 4" descr="imagem1">
          <a:extLst>
            <a:ext uri="{FF2B5EF4-FFF2-40B4-BE49-F238E27FC236}">
              <a16:creationId xmlns:a16="http://schemas.microsoft.com/office/drawing/2014/main" id="{CC7CE6BD-6736-42A2-AE0E-2E776342FE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49317" name="Picture 5">
          <a:extLst>
            <a:ext uri="{FF2B5EF4-FFF2-40B4-BE49-F238E27FC236}">
              <a16:creationId xmlns:a16="http://schemas.microsoft.com/office/drawing/2014/main" id="{2F72E3D4-1D90-42AD-BBD6-043451F72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49318" name="Picture 6">
          <a:extLst>
            <a:ext uri="{FF2B5EF4-FFF2-40B4-BE49-F238E27FC236}">
              <a16:creationId xmlns:a16="http://schemas.microsoft.com/office/drawing/2014/main" id="{032719E7-1124-4B91-A822-24EB56825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49319" name="Picture 7">
          <a:extLst>
            <a:ext uri="{FF2B5EF4-FFF2-40B4-BE49-F238E27FC236}">
              <a16:creationId xmlns:a16="http://schemas.microsoft.com/office/drawing/2014/main" id="{4074DFC7-2A17-41D6-B894-2993F2526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8530" name="Picture 1">
          <a:extLst>
            <a:ext uri="{FF2B5EF4-FFF2-40B4-BE49-F238E27FC236}">
              <a16:creationId xmlns:a16="http://schemas.microsoft.com/office/drawing/2014/main" id="{DA2B32E0-E5B8-49EE-8DAA-EC69B979E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8531" name="Picture 2" descr="BRASAO">
          <a:extLst>
            <a:ext uri="{FF2B5EF4-FFF2-40B4-BE49-F238E27FC236}">
              <a16:creationId xmlns:a16="http://schemas.microsoft.com/office/drawing/2014/main" id="{5FB44CC3-A189-4806-8CAE-71CE494805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8532" name="Picture 4" descr="imagem1">
          <a:extLst>
            <a:ext uri="{FF2B5EF4-FFF2-40B4-BE49-F238E27FC236}">
              <a16:creationId xmlns:a16="http://schemas.microsoft.com/office/drawing/2014/main" id="{5BE698B6-F095-43F0-8A24-5855B92B51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8533" name="Picture 5">
          <a:extLst>
            <a:ext uri="{FF2B5EF4-FFF2-40B4-BE49-F238E27FC236}">
              <a16:creationId xmlns:a16="http://schemas.microsoft.com/office/drawing/2014/main" id="{9E52B7B5-3058-4050-A3BE-9CCF11E35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8534" name="Picture 6">
          <a:extLst>
            <a:ext uri="{FF2B5EF4-FFF2-40B4-BE49-F238E27FC236}">
              <a16:creationId xmlns:a16="http://schemas.microsoft.com/office/drawing/2014/main" id="{50B00C95-8B8D-4E40-A837-77E814983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8535" name="Picture 7">
          <a:extLst>
            <a:ext uri="{FF2B5EF4-FFF2-40B4-BE49-F238E27FC236}">
              <a16:creationId xmlns:a16="http://schemas.microsoft.com/office/drawing/2014/main" id="{8C60F30A-8DE7-45DA-9207-5373008A7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9554" name="Picture 1">
          <a:extLst>
            <a:ext uri="{FF2B5EF4-FFF2-40B4-BE49-F238E27FC236}">
              <a16:creationId xmlns:a16="http://schemas.microsoft.com/office/drawing/2014/main" id="{F517D0E6-FFD7-49F8-BC20-14E55296B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9555" name="Picture 2" descr="BRASAO">
          <a:extLst>
            <a:ext uri="{FF2B5EF4-FFF2-40B4-BE49-F238E27FC236}">
              <a16:creationId xmlns:a16="http://schemas.microsoft.com/office/drawing/2014/main" id="{A9848483-7897-4925-B48C-BE12A4AB6D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9556" name="Picture 4" descr="imagem1">
          <a:extLst>
            <a:ext uri="{FF2B5EF4-FFF2-40B4-BE49-F238E27FC236}">
              <a16:creationId xmlns:a16="http://schemas.microsoft.com/office/drawing/2014/main" id="{558637F6-69F0-498F-899E-C6D8F178B6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9557" name="Picture 5">
          <a:extLst>
            <a:ext uri="{FF2B5EF4-FFF2-40B4-BE49-F238E27FC236}">
              <a16:creationId xmlns:a16="http://schemas.microsoft.com/office/drawing/2014/main" id="{5E015ADC-5AE7-46A3-B7DB-94E7D2091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9558" name="Picture 6">
          <a:extLst>
            <a:ext uri="{FF2B5EF4-FFF2-40B4-BE49-F238E27FC236}">
              <a16:creationId xmlns:a16="http://schemas.microsoft.com/office/drawing/2014/main" id="{F4AB0EE9-C7DF-40CC-8CE6-21927FD60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9559" name="Picture 7">
          <a:extLst>
            <a:ext uri="{FF2B5EF4-FFF2-40B4-BE49-F238E27FC236}">
              <a16:creationId xmlns:a16="http://schemas.microsoft.com/office/drawing/2014/main" id="{79584298-BD3C-4BE4-A7CF-893B20211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60578" name="Picture 1">
          <a:extLst>
            <a:ext uri="{FF2B5EF4-FFF2-40B4-BE49-F238E27FC236}">
              <a16:creationId xmlns:a16="http://schemas.microsoft.com/office/drawing/2014/main" id="{1B15B5ED-5BCA-455B-AB0C-01BAD62DA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60579" name="Picture 2" descr="BRASAO">
          <a:extLst>
            <a:ext uri="{FF2B5EF4-FFF2-40B4-BE49-F238E27FC236}">
              <a16:creationId xmlns:a16="http://schemas.microsoft.com/office/drawing/2014/main" id="{2FF46E56-ACF8-4216-8D37-F52EACB475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60580" name="Picture 4" descr="imagem1">
          <a:extLst>
            <a:ext uri="{FF2B5EF4-FFF2-40B4-BE49-F238E27FC236}">
              <a16:creationId xmlns:a16="http://schemas.microsoft.com/office/drawing/2014/main" id="{E878F0B4-6231-40A1-9BFB-D6B5D2DD37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60581" name="Picture 5">
          <a:extLst>
            <a:ext uri="{FF2B5EF4-FFF2-40B4-BE49-F238E27FC236}">
              <a16:creationId xmlns:a16="http://schemas.microsoft.com/office/drawing/2014/main" id="{B05D3490-93BD-4B58-9A2B-8C07BF052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30150"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60582" name="Picture 7">
          <a:extLst>
            <a:ext uri="{FF2B5EF4-FFF2-40B4-BE49-F238E27FC236}">
              <a16:creationId xmlns:a16="http://schemas.microsoft.com/office/drawing/2014/main" id="{554C74EA-A56C-40F0-AD17-AE3943B4B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60583" name="Picture 8">
          <a:extLst>
            <a:ext uri="{FF2B5EF4-FFF2-40B4-BE49-F238E27FC236}">
              <a16:creationId xmlns:a16="http://schemas.microsoft.com/office/drawing/2014/main" id="{878519A8-4D12-4310-89F9-B72522C97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58616</xdr:colOff>
      <xdr:row>0</xdr:row>
      <xdr:rowOff>102577</xdr:rowOff>
    </xdr:from>
    <xdr:to>
      <xdr:col>1</xdr:col>
      <xdr:colOff>862853</xdr:colOff>
      <xdr:row>0</xdr:row>
      <xdr:rowOff>1355481</xdr:rowOff>
    </xdr:to>
    <xdr:pic>
      <xdr:nvPicPr>
        <xdr:cNvPr id="3" name="Imagem 2">
          <a:extLst>
            <a:ext uri="{FF2B5EF4-FFF2-40B4-BE49-F238E27FC236}">
              <a16:creationId xmlns:a16="http://schemas.microsoft.com/office/drawing/2014/main" id="{359F59A0-78A5-4E15-983F-D84D216776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616" y="102577"/>
          <a:ext cx="1779149" cy="1252904"/>
        </a:xfrm>
        <a:prstGeom prst="rect">
          <a:avLst/>
        </a:prstGeom>
      </xdr:spPr>
    </xdr:pic>
    <xdr:clientData/>
  </xdr:twoCellAnchor>
  <xdr:twoCellAnchor editAs="oneCell">
    <xdr:from>
      <xdr:col>2</xdr:col>
      <xdr:colOff>201705</xdr:colOff>
      <xdr:row>0</xdr:row>
      <xdr:rowOff>144384</xdr:rowOff>
    </xdr:from>
    <xdr:to>
      <xdr:col>3</xdr:col>
      <xdr:colOff>687437</xdr:colOff>
      <xdr:row>0</xdr:row>
      <xdr:rowOff>1264072</xdr:rowOff>
    </xdr:to>
    <xdr:pic>
      <xdr:nvPicPr>
        <xdr:cNvPr id="7" name="Imagem 6">
          <a:extLst>
            <a:ext uri="{FF2B5EF4-FFF2-40B4-BE49-F238E27FC236}">
              <a16:creationId xmlns:a16="http://schemas.microsoft.com/office/drawing/2014/main" id="{B0778041-4B86-4EE6-8028-60362C2DF4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44970" y="144384"/>
          <a:ext cx="1639938" cy="11196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257175</xdr:colOff>
      <xdr:row>0</xdr:row>
      <xdr:rowOff>66675</xdr:rowOff>
    </xdr:from>
    <xdr:to>
      <xdr:col>10</xdr:col>
      <xdr:colOff>904875</xdr:colOff>
      <xdr:row>3</xdr:row>
      <xdr:rowOff>190500</xdr:rowOff>
    </xdr:to>
    <xdr:pic>
      <xdr:nvPicPr>
        <xdr:cNvPr id="961547" name="Picture 2" descr="imagem1">
          <a:extLst>
            <a:ext uri="{FF2B5EF4-FFF2-40B4-BE49-F238E27FC236}">
              <a16:creationId xmlns:a16="http://schemas.microsoft.com/office/drawing/2014/main" id="{1D5091C0-01F1-4142-BF0A-6D3E7C4E3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20600" y="66675"/>
          <a:ext cx="647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371475</xdr:colOff>
      <xdr:row>0</xdr:row>
      <xdr:rowOff>142875</xdr:rowOff>
    </xdr:from>
    <xdr:to>
      <xdr:col>27</xdr:col>
      <xdr:colOff>381000</xdr:colOff>
      <xdr:row>5</xdr:row>
      <xdr:rowOff>19050</xdr:rowOff>
    </xdr:to>
    <xdr:pic>
      <xdr:nvPicPr>
        <xdr:cNvPr id="962582" name="Picture 3" descr="imagem1">
          <a:extLst>
            <a:ext uri="{FF2B5EF4-FFF2-40B4-BE49-F238E27FC236}">
              <a16:creationId xmlns:a16="http://schemas.microsoft.com/office/drawing/2014/main" id="{DF24B953-B832-4517-8D31-7FFB29624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35600" y="142875"/>
          <a:ext cx="7905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0</xdr:row>
      <xdr:rowOff>66675</xdr:rowOff>
    </xdr:from>
    <xdr:to>
      <xdr:col>1</xdr:col>
      <xdr:colOff>1047750</xdr:colOff>
      <xdr:row>3</xdr:row>
      <xdr:rowOff>285750</xdr:rowOff>
    </xdr:to>
    <xdr:pic>
      <xdr:nvPicPr>
        <xdr:cNvPr id="962583" name="Picture 5" descr="BRASAO">
          <a:extLst>
            <a:ext uri="{FF2B5EF4-FFF2-40B4-BE49-F238E27FC236}">
              <a16:creationId xmlns:a16="http://schemas.microsoft.com/office/drawing/2014/main" id="{271D7EE7-08C7-4C9C-964A-4F338E0459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 y="66675"/>
          <a:ext cx="895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257175</xdr:colOff>
      <xdr:row>0</xdr:row>
      <xdr:rowOff>142875</xdr:rowOff>
    </xdr:from>
    <xdr:to>
      <xdr:col>10</xdr:col>
      <xdr:colOff>904875</xdr:colOff>
      <xdr:row>4</xdr:row>
      <xdr:rowOff>19050</xdr:rowOff>
    </xdr:to>
    <xdr:pic>
      <xdr:nvPicPr>
        <xdr:cNvPr id="963595" name="Picture 2" descr="imagem1">
          <a:extLst>
            <a:ext uri="{FF2B5EF4-FFF2-40B4-BE49-F238E27FC236}">
              <a16:creationId xmlns:a16="http://schemas.microsoft.com/office/drawing/2014/main" id="{951EAFDB-5A3F-46C8-A8C4-F0E52EC06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6725" y="142875"/>
          <a:ext cx="647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371475</xdr:colOff>
      <xdr:row>0</xdr:row>
      <xdr:rowOff>142875</xdr:rowOff>
    </xdr:from>
    <xdr:to>
      <xdr:col>27</xdr:col>
      <xdr:colOff>381000</xdr:colOff>
      <xdr:row>5</xdr:row>
      <xdr:rowOff>19050</xdr:rowOff>
    </xdr:to>
    <xdr:pic>
      <xdr:nvPicPr>
        <xdr:cNvPr id="964630" name="Picture 2" descr="imagem1">
          <a:extLst>
            <a:ext uri="{FF2B5EF4-FFF2-40B4-BE49-F238E27FC236}">
              <a16:creationId xmlns:a16="http://schemas.microsoft.com/office/drawing/2014/main" id="{1DA5095F-0A69-4286-B998-DDFA658E0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78450" y="142875"/>
          <a:ext cx="8286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0</xdr:row>
      <xdr:rowOff>66675</xdr:rowOff>
    </xdr:from>
    <xdr:to>
      <xdr:col>1</xdr:col>
      <xdr:colOff>1047750</xdr:colOff>
      <xdr:row>3</xdr:row>
      <xdr:rowOff>285750</xdr:rowOff>
    </xdr:to>
    <xdr:pic>
      <xdr:nvPicPr>
        <xdr:cNvPr id="964631" name="Picture 3" descr="BRASAO">
          <a:extLst>
            <a:ext uri="{FF2B5EF4-FFF2-40B4-BE49-F238E27FC236}">
              <a16:creationId xmlns:a16="http://schemas.microsoft.com/office/drawing/2014/main" id="{0F8A549F-9E04-4737-A1B5-F0AECCC0A3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 y="66675"/>
          <a:ext cx="895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257174</xdr:colOff>
      <xdr:row>0</xdr:row>
      <xdr:rowOff>139656</xdr:rowOff>
    </xdr:from>
    <xdr:to>
      <xdr:col>1</xdr:col>
      <xdr:colOff>1752599</xdr:colOff>
      <xdr:row>0</xdr:row>
      <xdr:rowOff>1719629</xdr:rowOff>
    </xdr:to>
    <xdr:pic>
      <xdr:nvPicPr>
        <xdr:cNvPr id="4" name="Imagem 3">
          <a:extLst>
            <a:ext uri="{FF2B5EF4-FFF2-40B4-BE49-F238E27FC236}">
              <a16:creationId xmlns:a16="http://schemas.microsoft.com/office/drawing/2014/main" id="{076B5B1E-1778-4BF3-8F87-F4E9B1BE3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4" y="139656"/>
          <a:ext cx="2466975" cy="1579973"/>
        </a:xfrm>
        <a:prstGeom prst="rect">
          <a:avLst/>
        </a:prstGeom>
      </xdr:spPr>
    </xdr:pic>
    <xdr:clientData/>
  </xdr:twoCellAnchor>
  <xdr:twoCellAnchor editAs="oneCell">
    <xdr:from>
      <xdr:col>6</xdr:col>
      <xdr:colOff>628650</xdr:colOff>
      <xdr:row>0</xdr:row>
      <xdr:rowOff>94004</xdr:rowOff>
    </xdr:from>
    <xdr:to>
      <xdr:col>9</xdr:col>
      <xdr:colOff>180975</xdr:colOff>
      <xdr:row>0</xdr:row>
      <xdr:rowOff>1809020</xdr:rowOff>
    </xdr:to>
    <xdr:pic>
      <xdr:nvPicPr>
        <xdr:cNvPr id="5" name="Imagem 4">
          <a:extLst>
            <a:ext uri="{FF2B5EF4-FFF2-40B4-BE49-F238E27FC236}">
              <a16:creationId xmlns:a16="http://schemas.microsoft.com/office/drawing/2014/main" id="{C57667EB-1E0F-406A-9948-9A6626095B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94004"/>
          <a:ext cx="2505075" cy="17150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3810000</xdr:colOff>
      <xdr:row>147</xdr:row>
      <xdr:rowOff>0</xdr:rowOff>
    </xdr:from>
    <xdr:ext cx="184731" cy="264560"/>
    <xdr:sp macro="" textlink="">
      <xdr:nvSpPr>
        <xdr:cNvPr id="2" name="CaixaDeTexto 1">
          <a:extLst>
            <a:ext uri="{FF2B5EF4-FFF2-40B4-BE49-F238E27FC236}">
              <a16:creationId xmlns:a16="http://schemas.microsoft.com/office/drawing/2014/main" id="{8CAA0746-2F4B-45E7-8998-2B9472976BBB}"/>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 name="CaixaDeTexto 2">
          <a:extLst>
            <a:ext uri="{FF2B5EF4-FFF2-40B4-BE49-F238E27FC236}">
              <a16:creationId xmlns:a16="http://schemas.microsoft.com/office/drawing/2014/main" id="{D98B40CA-FBDC-4774-B1CC-20A0527E91D0}"/>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4" name="CaixaDeTexto 3">
          <a:extLst>
            <a:ext uri="{FF2B5EF4-FFF2-40B4-BE49-F238E27FC236}">
              <a16:creationId xmlns:a16="http://schemas.microsoft.com/office/drawing/2014/main" id="{E05CE4E6-57F1-4083-9314-BDCD6819B5FA}"/>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 name="CaixaDeTexto 4">
          <a:extLst>
            <a:ext uri="{FF2B5EF4-FFF2-40B4-BE49-F238E27FC236}">
              <a16:creationId xmlns:a16="http://schemas.microsoft.com/office/drawing/2014/main" id="{3F01E1DD-1942-45BE-B2AA-A15FCA3EB26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 name="CaixaDeTexto 5">
          <a:extLst>
            <a:ext uri="{FF2B5EF4-FFF2-40B4-BE49-F238E27FC236}">
              <a16:creationId xmlns:a16="http://schemas.microsoft.com/office/drawing/2014/main" id="{091DD0AD-52CE-4C74-8D30-C48619362AE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9" name="CaixaDeTexto 8">
          <a:extLst>
            <a:ext uri="{FF2B5EF4-FFF2-40B4-BE49-F238E27FC236}">
              <a16:creationId xmlns:a16="http://schemas.microsoft.com/office/drawing/2014/main" id="{7BF4A1AC-24F9-4A5E-A12A-5EF37B133274}"/>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0" name="CaixaDeTexto 9">
          <a:extLst>
            <a:ext uri="{FF2B5EF4-FFF2-40B4-BE49-F238E27FC236}">
              <a16:creationId xmlns:a16="http://schemas.microsoft.com/office/drawing/2014/main" id="{E153FD2F-9F14-4532-8FFC-85554A5A25EF}"/>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1" name="CaixaDeTexto 10">
          <a:extLst>
            <a:ext uri="{FF2B5EF4-FFF2-40B4-BE49-F238E27FC236}">
              <a16:creationId xmlns:a16="http://schemas.microsoft.com/office/drawing/2014/main" id="{B7A7AF6D-6BC0-44F1-8E54-45F30A662BC9}"/>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2" name="CaixaDeTexto 11">
          <a:extLst>
            <a:ext uri="{FF2B5EF4-FFF2-40B4-BE49-F238E27FC236}">
              <a16:creationId xmlns:a16="http://schemas.microsoft.com/office/drawing/2014/main" id="{F05EC0C5-EA70-422B-8242-2FD6C6EB61D2}"/>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3" name="CaixaDeTexto 12">
          <a:extLst>
            <a:ext uri="{FF2B5EF4-FFF2-40B4-BE49-F238E27FC236}">
              <a16:creationId xmlns:a16="http://schemas.microsoft.com/office/drawing/2014/main" id="{A1FF7A60-407D-41B5-8D2F-B9B96233B3DB}"/>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4" name="CaixaDeTexto 13">
          <a:extLst>
            <a:ext uri="{FF2B5EF4-FFF2-40B4-BE49-F238E27FC236}">
              <a16:creationId xmlns:a16="http://schemas.microsoft.com/office/drawing/2014/main" id="{AB20EF98-062B-405C-B323-A88FC1DA31CE}"/>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5" name="CaixaDeTexto 14">
          <a:extLst>
            <a:ext uri="{FF2B5EF4-FFF2-40B4-BE49-F238E27FC236}">
              <a16:creationId xmlns:a16="http://schemas.microsoft.com/office/drawing/2014/main" id="{C2C09E11-7319-47E2-A486-0956554E5EC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6" name="CaixaDeTexto 15">
          <a:extLst>
            <a:ext uri="{FF2B5EF4-FFF2-40B4-BE49-F238E27FC236}">
              <a16:creationId xmlns:a16="http://schemas.microsoft.com/office/drawing/2014/main" id="{B1352E31-02BE-4211-8BB5-123E42B532E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7" name="CaixaDeTexto 16">
          <a:extLst>
            <a:ext uri="{FF2B5EF4-FFF2-40B4-BE49-F238E27FC236}">
              <a16:creationId xmlns:a16="http://schemas.microsoft.com/office/drawing/2014/main" id="{BD888945-ED6B-4DC7-B93B-07EA20A8A143}"/>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8" name="CaixaDeTexto 17">
          <a:extLst>
            <a:ext uri="{FF2B5EF4-FFF2-40B4-BE49-F238E27FC236}">
              <a16:creationId xmlns:a16="http://schemas.microsoft.com/office/drawing/2014/main" id="{5F1953EC-5F49-4BA2-82B6-54CE794AA7E0}"/>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19" name="CaixaDeTexto 18">
          <a:extLst>
            <a:ext uri="{FF2B5EF4-FFF2-40B4-BE49-F238E27FC236}">
              <a16:creationId xmlns:a16="http://schemas.microsoft.com/office/drawing/2014/main" id="{A5AEC92A-FA14-4C5E-B947-D4ED2C5E01E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0" name="CaixaDeTexto 19">
          <a:extLst>
            <a:ext uri="{FF2B5EF4-FFF2-40B4-BE49-F238E27FC236}">
              <a16:creationId xmlns:a16="http://schemas.microsoft.com/office/drawing/2014/main" id="{21B48242-7886-4ED2-B8D3-D701BDC598F2}"/>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1" name="CaixaDeTexto 20">
          <a:extLst>
            <a:ext uri="{FF2B5EF4-FFF2-40B4-BE49-F238E27FC236}">
              <a16:creationId xmlns:a16="http://schemas.microsoft.com/office/drawing/2014/main" id="{000D3AC9-F9B3-4689-A07B-198CA41AD484}"/>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2" name="CaixaDeTexto 21">
          <a:extLst>
            <a:ext uri="{FF2B5EF4-FFF2-40B4-BE49-F238E27FC236}">
              <a16:creationId xmlns:a16="http://schemas.microsoft.com/office/drawing/2014/main" id="{D6C2FFF2-ED52-4CC3-8C1D-744362E6871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3" name="CaixaDeTexto 22">
          <a:extLst>
            <a:ext uri="{FF2B5EF4-FFF2-40B4-BE49-F238E27FC236}">
              <a16:creationId xmlns:a16="http://schemas.microsoft.com/office/drawing/2014/main" id="{F7252D22-84BC-422D-BEB3-BCEC24707D3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4" name="CaixaDeTexto 23">
          <a:extLst>
            <a:ext uri="{FF2B5EF4-FFF2-40B4-BE49-F238E27FC236}">
              <a16:creationId xmlns:a16="http://schemas.microsoft.com/office/drawing/2014/main" id="{A723D183-C2A0-41FB-893E-B13EB8104681}"/>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5" name="CaixaDeTexto 24">
          <a:extLst>
            <a:ext uri="{FF2B5EF4-FFF2-40B4-BE49-F238E27FC236}">
              <a16:creationId xmlns:a16="http://schemas.microsoft.com/office/drawing/2014/main" id="{19FBEED3-4A44-4689-87E6-2BC728117CD7}"/>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6" name="CaixaDeTexto 25">
          <a:extLst>
            <a:ext uri="{FF2B5EF4-FFF2-40B4-BE49-F238E27FC236}">
              <a16:creationId xmlns:a16="http://schemas.microsoft.com/office/drawing/2014/main" id="{B88751FC-E19F-4A72-8509-94B8170218A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7" name="CaixaDeTexto 26">
          <a:extLst>
            <a:ext uri="{FF2B5EF4-FFF2-40B4-BE49-F238E27FC236}">
              <a16:creationId xmlns:a16="http://schemas.microsoft.com/office/drawing/2014/main" id="{9D4BD5B5-7067-4E0D-8D3B-F5EFA489D05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28" name="CaixaDeTexto 27">
          <a:extLst>
            <a:ext uri="{FF2B5EF4-FFF2-40B4-BE49-F238E27FC236}">
              <a16:creationId xmlns:a16="http://schemas.microsoft.com/office/drawing/2014/main" id="{CDE58BE5-83C8-4EFE-9EC1-A462FDFEF39B}"/>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213</xdr:row>
      <xdr:rowOff>0</xdr:rowOff>
    </xdr:from>
    <xdr:ext cx="184731" cy="264560"/>
    <xdr:sp macro="" textlink="">
      <xdr:nvSpPr>
        <xdr:cNvPr id="29" name="CaixaDeTexto 28">
          <a:extLst>
            <a:ext uri="{FF2B5EF4-FFF2-40B4-BE49-F238E27FC236}">
              <a16:creationId xmlns:a16="http://schemas.microsoft.com/office/drawing/2014/main" id="{6FEFE8F1-D1AE-433A-B74A-9A432439F3F5}"/>
            </a:ext>
          </a:extLst>
        </xdr:cNvPr>
        <xdr:cNvSpPr txBox="1"/>
      </xdr:nvSpPr>
      <xdr:spPr>
        <a:xfrm>
          <a:off x="5476875" y="547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213</xdr:row>
      <xdr:rowOff>0</xdr:rowOff>
    </xdr:from>
    <xdr:ext cx="184731" cy="264560"/>
    <xdr:sp macro="" textlink="">
      <xdr:nvSpPr>
        <xdr:cNvPr id="30" name="CaixaDeTexto 29">
          <a:extLst>
            <a:ext uri="{FF2B5EF4-FFF2-40B4-BE49-F238E27FC236}">
              <a16:creationId xmlns:a16="http://schemas.microsoft.com/office/drawing/2014/main" id="{D2C7BA3F-D948-4D2B-B56D-DAAE61CD6D0A}"/>
            </a:ext>
          </a:extLst>
        </xdr:cNvPr>
        <xdr:cNvSpPr txBox="1"/>
      </xdr:nvSpPr>
      <xdr:spPr>
        <a:xfrm>
          <a:off x="5476875" y="547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213</xdr:row>
      <xdr:rowOff>0</xdr:rowOff>
    </xdr:from>
    <xdr:ext cx="184731" cy="264560"/>
    <xdr:sp macro="" textlink="">
      <xdr:nvSpPr>
        <xdr:cNvPr id="31" name="CaixaDeTexto 30">
          <a:extLst>
            <a:ext uri="{FF2B5EF4-FFF2-40B4-BE49-F238E27FC236}">
              <a16:creationId xmlns:a16="http://schemas.microsoft.com/office/drawing/2014/main" id="{5BF3370B-4B37-4CAD-9D50-7CC90E95A008}"/>
            </a:ext>
          </a:extLst>
        </xdr:cNvPr>
        <xdr:cNvSpPr txBox="1"/>
      </xdr:nvSpPr>
      <xdr:spPr>
        <a:xfrm>
          <a:off x="5476875" y="547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213</xdr:row>
      <xdr:rowOff>0</xdr:rowOff>
    </xdr:from>
    <xdr:ext cx="184731" cy="264560"/>
    <xdr:sp macro="" textlink="">
      <xdr:nvSpPr>
        <xdr:cNvPr id="32" name="CaixaDeTexto 31">
          <a:extLst>
            <a:ext uri="{FF2B5EF4-FFF2-40B4-BE49-F238E27FC236}">
              <a16:creationId xmlns:a16="http://schemas.microsoft.com/office/drawing/2014/main" id="{EE15DD7E-24B3-45D8-8338-06C689E91CC9}"/>
            </a:ext>
          </a:extLst>
        </xdr:cNvPr>
        <xdr:cNvSpPr txBox="1"/>
      </xdr:nvSpPr>
      <xdr:spPr>
        <a:xfrm>
          <a:off x="5476875" y="547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213</xdr:row>
      <xdr:rowOff>0</xdr:rowOff>
    </xdr:from>
    <xdr:ext cx="184731" cy="264560"/>
    <xdr:sp macro="" textlink="">
      <xdr:nvSpPr>
        <xdr:cNvPr id="33" name="CaixaDeTexto 32">
          <a:extLst>
            <a:ext uri="{FF2B5EF4-FFF2-40B4-BE49-F238E27FC236}">
              <a16:creationId xmlns:a16="http://schemas.microsoft.com/office/drawing/2014/main" id="{2402A515-3DD7-4401-B384-1B802C9F0F27}"/>
            </a:ext>
          </a:extLst>
        </xdr:cNvPr>
        <xdr:cNvSpPr txBox="1"/>
      </xdr:nvSpPr>
      <xdr:spPr>
        <a:xfrm>
          <a:off x="5476875" y="547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4" name="CaixaDeTexto 33">
          <a:extLst>
            <a:ext uri="{FF2B5EF4-FFF2-40B4-BE49-F238E27FC236}">
              <a16:creationId xmlns:a16="http://schemas.microsoft.com/office/drawing/2014/main" id="{5A843B7E-A7E8-46A3-8998-BADB21C33843}"/>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5" name="CaixaDeTexto 34">
          <a:extLst>
            <a:ext uri="{FF2B5EF4-FFF2-40B4-BE49-F238E27FC236}">
              <a16:creationId xmlns:a16="http://schemas.microsoft.com/office/drawing/2014/main" id="{8C3C3E80-3199-46BD-83CA-5CBDE32FC72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6" name="CaixaDeTexto 35">
          <a:extLst>
            <a:ext uri="{FF2B5EF4-FFF2-40B4-BE49-F238E27FC236}">
              <a16:creationId xmlns:a16="http://schemas.microsoft.com/office/drawing/2014/main" id="{A80EA728-0772-4663-A592-10D8881BCBF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7" name="CaixaDeTexto 36">
          <a:extLst>
            <a:ext uri="{FF2B5EF4-FFF2-40B4-BE49-F238E27FC236}">
              <a16:creationId xmlns:a16="http://schemas.microsoft.com/office/drawing/2014/main" id="{42E1534E-9995-41E9-AB31-7FA968CBB30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8" name="CaixaDeTexto 37">
          <a:extLst>
            <a:ext uri="{FF2B5EF4-FFF2-40B4-BE49-F238E27FC236}">
              <a16:creationId xmlns:a16="http://schemas.microsoft.com/office/drawing/2014/main" id="{8699CDF1-BFA0-46B4-8C70-023B7D07BFD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39" name="CaixaDeTexto 38">
          <a:extLst>
            <a:ext uri="{FF2B5EF4-FFF2-40B4-BE49-F238E27FC236}">
              <a16:creationId xmlns:a16="http://schemas.microsoft.com/office/drawing/2014/main" id="{2C0E6C59-992A-419F-9AA7-7025B8846DB5}"/>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40" name="CaixaDeTexto 39">
          <a:extLst>
            <a:ext uri="{FF2B5EF4-FFF2-40B4-BE49-F238E27FC236}">
              <a16:creationId xmlns:a16="http://schemas.microsoft.com/office/drawing/2014/main" id="{799B09FC-6497-4BF9-8973-D648325CE7A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41" name="CaixaDeTexto 40">
          <a:extLst>
            <a:ext uri="{FF2B5EF4-FFF2-40B4-BE49-F238E27FC236}">
              <a16:creationId xmlns:a16="http://schemas.microsoft.com/office/drawing/2014/main" id="{918844DF-C627-4D25-8568-D0D5B3670DF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42" name="CaixaDeTexto 41">
          <a:extLst>
            <a:ext uri="{FF2B5EF4-FFF2-40B4-BE49-F238E27FC236}">
              <a16:creationId xmlns:a16="http://schemas.microsoft.com/office/drawing/2014/main" id="{570BBFD9-7685-471F-B08A-4DD73F3E736E}"/>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43" name="CaixaDeTexto 42">
          <a:extLst>
            <a:ext uri="{FF2B5EF4-FFF2-40B4-BE49-F238E27FC236}">
              <a16:creationId xmlns:a16="http://schemas.microsoft.com/office/drawing/2014/main" id="{A752599E-52B2-41DB-908A-BEF2ED80C59A}"/>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212</xdr:row>
      <xdr:rowOff>0</xdr:rowOff>
    </xdr:from>
    <xdr:ext cx="184731" cy="264560"/>
    <xdr:sp macro="" textlink="">
      <xdr:nvSpPr>
        <xdr:cNvPr id="44" name="CaixaDeTexto 43">
          <a:extLst>
            <a:ext uri="{FF2B5EF4-FFF2-40B4-BE49-F238E27FC236}">
              <a16:creationId xmlns:a16="http://schemas.microsoft.com/office/drawing/2014/main" id="{DF844E6A-3FFF-4DB6-85D3-86898FA89438}"/>
            </a:ext>
          </a:extLst>
        </xdr:cNvPr>
        <xdr:cNvSpPr txBox="1"/>
      </xdr:nvSpPr>
      <xdr:spPr>
        <a:xfrm>
          <a:off x="5476875" y="5452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3810000</xdr:colOff>
      <xdr:row>212</xdr:row>
      <xdr:rowOff>0</xdr:rowOff>
    </xdr:from>
    <xdr:ext cx="184731" cy="264560"/>
    <xdr:sp macro="" textlink="">
      <xdr:nvSpPr>
        <xdr:cNvPr id="45" name="CaixaDeTexto 44">
          <a:extLst>
            <a:ext uri="{FF2B5EF4-FFF2-40B4-BE49-F238E27FC236}">
              <a16:creationId xmlns:a16="http://schemas.microsoft.com/office/drawing/2014/main" id="{895D405E-3A9A-49E5-A5A6-B2028712B268}"/>
            </a:ext>
          </a:extLst>
        </xdr:cNvPr>
        <xdr:cNvSpPr txBox="1"/>
      </xdr:nvSpPr>
      <xdr:spPr>
        <a:xfrm>
          <a:off x="5476875" y="5452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3810000</xdr:colOff>
      <xdr:row>212</xdr:row>
      <xdr:rowOff>0</xdr:rowOff>
    </xdr:from>
    <xdr:ext cx="184731" cy="264560"/>
    <xdr:sp macro="" textlink="">
      <xdr:nvSpPr>
        <xdr:cNvPr id="46" name="CaixaDeTexto 45">
          <a:extLst>
            <a:ext uri="{FF2B5EF4-FFF2-40B4-BE49-F238E27FC236}">
              <a16:creationId xmlns:a16="http://schemas.microsoft.com/office/drawing/2014/main" id="{A4D947EE-1A13-444B-BAA4-AAF2E2FEF7DF}"/>
            </a:ext>
          </a:extLst>
        </xdr:cNvPr>
        <xdr:cNvSpPr txBox="1"/>
      </xdr:nvSpPr>
      <xdr:spPr>
        <a:xfrm>
          <a:off x="5476875" y="5452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3810000</xdr:colOff>
      <xdr:row>212</xdr:row>
      <xdr:rowOff>0</xdr:rowOff>
    </xdr:from>
    <xdr:ext cx="184731" cy="264560"/>
    <xdr:sp macro="" textlink="">
      <xdr:nvSpPr>
        <xdr:cNvPr id="47" name="CaixaDeTexto 46">
          <a:extLst>
            <a:ext uri="{FF2B5EF4-FFF2-40B4-BE49-F238E27FC236}">
              <a16:creationId xmlns:a16="http://schemas.microsoft.com/office/drawing/2014/main" id="{E2CA78F3-664B-44AE-8C1A-CFC1F68A2C8D}"/>
            </a:ext>
          </a:extLst>
        </xdr:cNvPr>
        <xdr:cNvSpPr txBox="1"/>
      </xdr:nvSpPr>
      <xdr:spPr>
        <a:xfrm>
          <a:off x="5476875" y="5452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3810000</xdr:colOff>
      <xdr:row>212</xdr:row>
      <xdr:rowOff>0</xdr:rowOff>
    </xdr:from>
    <xdr:ext cx="184731" cy="264560"/>
    <xdr:sp macro="" textlink="">
      <xdr:nvSpPr>
        <xdr:cNvPr id="48" name="CaixaDeTexto 47">
          <a:extLst>
            <a:ext uri="{FF2B5EF4-FFF2-40B4-BE49-F238E27FC236}">
              <a16:creationId xmlns:a16="http://schemas.microsoft.com/office/drawing/2014/main" id="{53DAA108-25E2-4A79-B0F4-BB777D971722}"/>
            </a:ext>
          </a:extLst>
        </xdr:cNvPr>
        <xdr:cNvSpPr txBox="1"/>
      </xdr:nvSpPr>
      <xdr:spPr>
        <a:xfrm>
          <a:off x="5476875" y="5452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3810000</xdr:colOff>
      <xdr:row>147</xdr:row>
      <xdr:rowOff>0</xdr:rowOff>
    </xdr:from>
    <xdr:ext cx="184731" cy="264560"/>
    <xdr:sp macro="" textlink="">
      <xdr:nvSpPr>
        <xdr:cNvPr id="51" name="CaixaDeTexto 50">
          <a:extLst>
            <a:ext uri="{FF2B5EF4-FFF2-40B4-BE49-F238E27FC236}">
              <a16:creationId xmlns:a16="http://schemas.microsoft.com/office/drawing/2014/main" id="{80D702D6-1B45-4D77-B8F4-65B6AC3475D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2" name="CaixaDeTexto 51">
          <a:extLst>
            <a:ext uri="{FF2B5EF4-FFF2-40B4-BE49-F238E27FC236}">
              <a16:creationId xmlns:a16="http://schemas.microsoft.com/office/drawing/2014/main" id="{D94613A7-9EEA-4711-977C-2C4C71BB9A54}"/>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3" name="CaixaDeTexto 52">
          <a:extLst>
            <a:ext uri="{FF2B5EF4-FFF2-40B4-BE49-F238E27FC236}">
              <a16:creationId xmlns:a16="http://schemas.microsoft.com/office/drawing/2014/main" id="{A1AD8542-6DCB-4287-80D0-1C6E371AF515}"/>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4" name="CaixaDeTexto 53">
          <a:extLst>
            <a:ext uri="{FF2B5EF4-FFF2-40B4-BE49-F238E27FC236}">
              <a16:creationId xmlns:a16="http://schemas.microsoft.com/office/drawing/2014/main" id="{99C46C39-E81B-45D5-BC1A-A8C6F3F4F492}"/>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5" name="CaixaDeTexto 54">
          <a:extLst>
            <a:ext uri="{FF2B5EF4-FFF2-40B4-BE49-F238E27FC236}">
              <a16:creationId xmlns:a16="http://schemas.microsoft.com/office/drawing/2014/main" id="{B2D8E702-6CB7-422B-B9D5-ADD79F04E2DF}"/>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6" name="CaixaDeTexto 55">
          <a:extLst>
            <a:ext uri="{FF2B5EF4-FFF2-40B4-BE49-F238E27FC236}">
              <a16:creationId xmlns:a16="http://schemas.microsoft.com/office/drawing/2014/main" id="{2409FB83-FB7A-46CF-AA3D-66A5BB4A2525}"/>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7" name="CaixaDeTexto 56">
          <a:extLst>
            <a:ext uri="{FF2B5EF4-FFF2-40B4-BE49-F238E27FC236}">
              <a16:creationId xmlns:a16="http://schemas.microsoft.com/office/drawing/2014/main" id="{2EB6B879-C421-4F8A-8181-6A5CBED53A61}"/>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8" name="CaixaDeTexto 57">
          <a:extLst>
            <a:ext uri="{FF2B5EF4-FFF2-40B4-BE49-F238E27FC236}">
              <a16:creationId xmlns:a16="http://schemas.microsoft.com/office/drawing/2014/main" id="{1C7F6E89-2C04-417C-9E69-EE8CA8313B6B}"/>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59" name="CaixaDeTexto 58">
          <a:extLst>
            <a:ext uri="{FF2B5EF4-FFF2-40B4-BE49-F238E27FC236}">
              <a16:creationId xmlns:a16="http://schemas.microsoft.com/office/drawing/2014/main" id="{77D548CD-EC84-4C96-BB50-D6718BEE84F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0" name="CaixaDeTexto 59">
          <a:extLst>
            <a:ext uri="{FF2B5EF4-FFF2-40B4-BE49-F238E27FC236}">
              <a16:creationId xmlns:a16="http://schemas.microsoft.com/office/drawing/2014/main" id="{6860ADC7-9D63-4643-8691-8A4BE6205384}"/>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1" name="CaixaDeTexto 60">
          <a:extLst>
            <a:ext uri="{FF2B5EF4-FFF2-40B4-BE49-F238E27FC236}">
              <a16:creationId xmlns:a16="http://schemas.microsoft.com/office/drawing/2014/main" id="{1054E4AD-DF14-4D96-AF54-B3629327A019}"/>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2" name="CaixaDeTexto 61">
          <a:extLst>
            <a:ext uri="{FF2B5EF4-FFF2-40B4-BE49-F238E27FC236}">
              <a16:creationId xmlns:a16="http://schemas.microsoft.com/office/drawing/2014/main" id="{13D639E9-F861-4635-AF00-A9153DDD6F4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3" name="CaixaDeTexto 62">
          <a:extLst>
            <a:ext uri="{FF2B5EF4-FFF2-40B4-BE49-F238E27FC236}">
              <a16:creationId xmlns:a16="http://schemas.microsoft.com/office/drawing/2014/main" id="{B1930804-9743-4CAD-AFAB-83A390ECF45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4" name="CaixaDeTexto 63">
          <a:extLst>
            <a:ext uri="{FF2B5EF4-FFF2-40B4-BE49-F238E27FC236}">
              <a16:creationId xmlns:a16="http://schemas.microsoft.com/office/drawing/2014/main" id="{97904741-3E19-41E0-8BF8-49DF76BD79C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5" name="CaixaDeTexto 64">
          <a:extLst>
            <a:ext uri="{FF2B5EF4-FFF2-40B4-BE49-F238E27FC236}">
              <a16:creationId xmlns:a16="http://schemas.microsoft.com/office/drawing/2014/main" id="{FB00F3E7-D4BE-4B9C-8850-EDA5C8FA26CD}"/>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6" name="CaixaDeTexto 65">
          <a:extLst>
            <a:ext uri="{FF2B5EF4-FFF2-40B4-BE49-F238E27FC236}">
              <a16:creationId xmlns:a16="http://schemas.microsoft.com/office/drawing/2014/main" id="{7B33C29D-186F-4487-BF7B-05B1DD4B22F7}"/>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7" name="CaixaDeTexto 66">
          <a:extLst>
            <a:ext uri="{FF2B5EF4-FFF2-40B4-BE49-F238E27FC236}">
              <a16:creationId xmlns:a16="http://schemas.microsoft.com/office/drawing/2014/main" id="{ED4C26D4-B699-45A8-96C4-20250EB3610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8" name="CaixaDeTexto 67">
          <a:extLst>
            <a:ext uri="{FF2B5EF4-FFF2-40B4-BE49-F238E27FC236}">
              <a16:creationId xmlns:a16="http://schemas.microsoft.com/office/drawing/2014/main" id="{8BAAC5B7-C77D-443B-BD35-A4D2FB7C4935}"/>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69" name="CaixaDeTexto 68">
          <a:extLst>
            <a:ext uri="{FF2B5EF4-FFF2-40B4-BE49-F238E27FC236}">
              <a16:creationId xmlns:a16="http://schemas.microsoft.com/office/drawing/2014/main" id="{1FDF31F4-50B7-4058-9357-6FA4F3442FB3}"/>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0" name="CaixaDeTexto 69">
          <a:extLst>
            <a:ext uri="{FF2B5EF4-FFF2-40B4-BE49-F238E27FC236}">
              <a16:creationId xmlns:a16="http://schemas.microsoft.com/office/drawing/2014/main" id="{FECC631A-9EC2-40DC-8F69-B18D9679C09D}"/>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1" name="CaixaDeTexto 70">
          <a:extLst>
            <a:ext uri="{FF2B5EF4-FFF2-40B4-BE49-F238E27FC236}">
              <a16:creationId xmlns:a16="http://schemas.microsoft.com/office/drawing/2014/main" id="{1C299DE4-27F1-41C1-8C60-C2400DDC5BE0}"/>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2" name="CaixaDeTexto 71">
          <a:extLst>
            <a:ext uri="{FF2B5EF4-FFF2-40B4-BE49-F238E27FC236}">
              <a16:creationId xmlns:a16="http://schemas.microsoft.com/office/drawing/2014/main" id="{B61AD243-DA0B-441F-9AC0-6D65ADC0CE12}"/>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3" name="CaixaDeTexto 72">
          <a:extLst>
            <a:ext uri="{FF2B5EF4-FFF2-40B4-BE49-F238E27FC236}">
              <a16:creationId xmlns:a16="http://schemas.microsoft.com/office/drawing/2014/main" id="{87ACE0F0-F420-47F2-AFE1-287D90B92F45}"/>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4" name="CaixaDeTexto 73">
          <a:extLst>
            <a:ext uri="{FF2B5EF4-FFF2-40B4-BE49-F238E27FC236}">
              <a16:creationId xmlns:a16="http://schemas.microsoft.com/office/drawing/2014/main" id="{846FD054-4E3F-4405-8CE9-4DD9B246D55D}"/>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5" name="CaixaDeTexto 74">
          <a:extLst>
            <a:ext uri="{FF2B5EF4-FFF2-40B4-BE49-F238E27FC236}">
              <a16:creationId xmlns:a16="http://schemas.microsoft.com/office/drawing/2014/main" id="{2A2F9B14-E608-45BB-B25A-E0FBADD171E1}"/>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6" name="CaixaDeTexto 75">
          <a:extLst>
            <a:ext uri="{FF2B5EF4-FFF2-40B4-BE49-F238E27FC236}">
              <a16:creationId xmlns:a16="http://schemas.microsoft.com/office/drawing/2014/main" id="{2AA38AEB-A6E1-4356-B2A3-6E3DB7131FD0}"/>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7" name="CaixaDeTexto 76">
          <a:extLst>
            <a:ext uri="{FF2B5EF4-FFF2-40B4-BE49-F238E27FC236}">
              <a16:creationId xmlns:a16="http://schemas.microsoft.com/office/drawing/2014/main" id="{297C5EE2-E95A-443E-B6B5-FAE264E15D4D}"/>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8" name="CaixaDeTexto 77">
          <a:extLst>
            <a:ext uri="{FF2B5EF4-FFF2-40B4-BE49-F238E27FC236}">
              <a16:creationId xmlns:a16="http://schemas.microsoft.com/office/drawing/2014/main" id="{84B2CCFF-0477-4069-A4C9-5F8FE886B871}"/>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79" name="CaixaDeTexto 78">
          <a:extLst>
            <a:ext uri="{FF2B5EF4-FFF2-40B4-BE49-F238E27FC236}">
              <a16:creationId xmlns:a16="http://schemas.microsoft.com/office/drawing/2014/main" id="{7758DF1B-1B0D-4415-ADF8-F37885CFAE5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212912" cy="242147"/>
    <xdr:sp macro="" textlink="">
      <xdr:nvSpPr>
        <xdr:cNvPr id="80" name="CaixaDeTexto 79">
          <a:extLst>
            <a:ext uri="{FF2B5EF4-FFF2-40B4-BE49-F238E27FC236}">
              <a16:creationId xmlns:a16="http://schemas.microsoft.com/office/drawing/2014/main" id="{1BE6EEA2-86A8-4749-B415-E85267BB4326}"/>
            </a:ext>
          </a:extLst>
        </xdr:cNvPr>
        <xdr:cNvSpPr txBox="1"/>
      </xdr:nvSpPr>
      <xdr:spPr>
        <a:xfrm>
          <a:off x="5476875" y="54311550"/>
          <a:ext cx="212912" cy="24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1" name="CaixaDeTexto 80">
          <a:extLst>
            <a:ext uri="{FF2B5EF4-FFF2-40B4-BE49-F238E27FC236}">
              <a16:creationId xmlns:a16="http://schemas.microsoft.com/office/drawing/2014/main" id="{7ACCA31F-1AA3-4040-9867-E3A5004B0A6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2" name="CaixaDeTexto 81">
          <a:extLst>
            <a:ext uri="{FF2B5EF4-FFF2-40B4-BE49-F238E27FC236}">
              <a16:creationId xmlns:a16="http://schemas.microsoft.com/office/drawing/2014/main" id="{59AD0173-337A-4A33-B2E2-7909DF8A045D}"/>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3" name="CaixaDeTexto 82">
          <a:extLst>
            <a:ext uri="{FF2B5EF4-FFF2-40B4-BE49-F238E27FC236}">
              <a16:creationId xmlns:a16="http://schemas.microsoft.com/office/drawing/2014/main" id="{168F1A08-2C3C-4304-9EBB-4E51E8ECEC84}"/>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4" name="CaixaDeTexto 83">
          <a:extLst>
            <a:ext uri="{FF2B5EF4-FFF2-40B4-BE49-F238E27FC236}">
              <a16:creationId xmlns:a16="http://schemas.microsoft.com/office/drawing/2014/main" id="{A9C6EDC0-C231-4F7C-B224-3D8D25DA2F1B}"/>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5" name="CaixaDeTexto 84">
          <a:extLst>
            <a:ext uri="{FF2B5EF4-FFF2-40B4-BE49-F238E27FC236}">
              <a16:creationId xmlns:a16="http://schemas.microsoft.com/office/drawing/2014/main" id="{2E2F0D01-9C29-4634-8F1C-0BC9FF8B3F4A}"/>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6" name="CaixaDeTexto 85">
          <a:extLst>
            <a:ext uri="{FF2B5EF4-FFF2-40B4-BE49-F238E27FC236}">
              <a16:creationId xmlns:a16="http://schemas.microsoft.com/office/drawing/2014/main" id="{778EC48C-69C9-4D00-B85F-B2821580AD20}"/>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7" name="CaixaDeTexto 86">
          <a:extLst>
            <a:ext uri="{FF2B5EF4-FFF2-40B4-BE49-F238E27FC236}">
              <a16:creationId xmlns:a16="http://schemas.microsoft.com/office/drawing/2014/main" id="{044B6021-C952-4FD5-B717-8E6F1B687D96}"/>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8" name="CaixaDeTexto 87">
          <a:extLst>
            <a:ext uri="{FF2B5EF4-FFF2-40B4-BE49-F238E27FC236}">
              <a16:creationId xmlns:a16="http://schemas.microsoft.com/office/drawing/2014/main" id="{090A2066-3C87-4152-A829-3C50C310DD48}"/>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89" name="CaixaDeTexto 88">
          <a:extLst>
            <a:ext uri="{FF2B5EF4-FFF2-40B4-BE49-F238E27FC236}">
              <a16:creationId xmlns:a16="http://schemas.microsoft.com/office/drawing/2014/main" id="{2D750A34-5EFD-4F34-8D1B-739E560D1D0C}"/>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147</xdr:row>
      <xdr:rowOff>0</xdr:rowOff>
    </xdr:from>
    <xdr:ext cx="184731" cy="264560"/>
    <xdr:sp macro="" textlink="">
      <xdr:nvSpPr>
        <xdr:cNvPr id="90" name="CaixaDeTexto 89">
          <a:extLst>
            <a:ext uri="{FF2B5EF4-FFF2-40B4-BE49-F238E27FC236}">
              <a16:creationId xmlns:a16="http://schemas.microsoft.com/office/drawing/2014/main" id="{EE9E2F58-65DC-49D4-865F-79C2F314DA0F}"/>
            </a:ext>
          </a:extLst>
        </xdr:cNvPr>
        <xdr:cNvSpPr txBox="1"/>
      </xdr:nvSpPr>
      <xdr:spPr>
        <a:xfrm>
          <a:off x="5476875" y="5431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editAs="oneCell">
    <xdr:from>
      <xdr:col>0</xdr:col>
      <xdr:colOff>504264</xdr:colOff>
      <xdr:row>0</xdr:row>
      <xdr:rowOff>100853</xdr:rowOff>
    </xdr:from>
    <xdr:to>
      <xdr:col>2</xdr:col>
      <xdr:colOff>1335180</xdr:colOff>
      <xdr:row>0</xdr:row>
      <xdr:rowOff>1680826</xdr:rowOff>
    </xdr:to>
    <xdr:pic>
      <xdr:nvPicPr>
        <xdr:cNvPr id="91" name="Imagem 90">
          <a:extLst>
            <a:ext uri="{FF2B5EF4-FFF2-40B4-BE49-F238E27FC236}">
              <a16:creationId xmlns:a16="http://schemas.microsoft.com/office/drawing/2014/main" id="{F1B86E91-812E-45FA-A061-587166E5E4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264" y="100853"/>
          <a:ext cx="2466975" cy="1579973"/>
        </a:xfrm>
        <a:prstGeom prst="rect">
          <a:avLst/>
        </a:prstGeom>
      </xdr:spPr>
    </xdr:pic>
    <xdr:clientData/>
  </xdr:twoCellAnchor>
  <xdr:twoCellAnchor editAs="oneCell">
    <xdr:from>
      <xdr:col>5</xdr:col>
      <xdr:colOff>616324</xdr:colOff>
      <xdr:row>0</xdr:row>
      <xdr:rowOff>89647</xdr:rowOff>
    </xdr:from>
    <xdr:to>
      <xdr:col>7</xdr:col>
      <xdr:colOff>756958</xdr:colOff>
      <xdr:row>0</xdr:row>
      <xdr:rowOff>1737429</xdr:rowOff>
    </xdr:to>
    <xdr:pic>
      <xdr:nvPicPr>
        <xdr:cNvPr id="92" name="Imagem 91">
          <a:extLst>
            <a:ext uri="{FF2B5EF4-FFF2-40B4-BE49-F238E27FC236}">
              <a16:creationId xmlns:a16="http://schemas.microsoft.com/office/drawing/2014/main" id="{6B2AED45-7875-445C-9917-602270B644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57412" y="89647"/>
          <a:ext cx="2505075" cy="1647782"/>
        </a:xfrm>
        <a:prstGeom prst="rect">
          <a:avLst/>
        </a:prstGeom>
      </xdr:spPr>
    </xdr:pic>
    <xdr:clientData/>
  </xdr:twoCellAnchor>
  <xdr:oneCellAnchor>
    <xdr:from>
      <xdr:col>2</xdr:col>
      <xdr:colOff>3810000</xdr:colOff>
      <xdr:row>166</xdr:row>
      <xdr:rowOff>0</xdr:rowOff>
    </xdr:from>
    <xdr:ext cx="184731" cy="264560"/>
    <xdr:sp macro="" textlink="">
      <xdr:nvSpPr>
        <xdr:cNvPr id="93" name="CaixaDeTexto 92">
          <a:extLst>
            <a:ext uri="{FF2B5EF4-FFF2-40B4-BE49-F238E27FC236}">
              <a16:creationId xmlns:a16="http://schemas.microsoft.com/office/drawing/2014/main" id="{E5FDF968-1521-43C7-BA9A-62539193789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94" name="CaixaDeTexto 93">
          <a:extLst>
            <a:ext uri="{FF2B5EF4-FFF2-40B4-BE49-F238E27FC236}">
              <a16:creationId xmlns:a16="http://schemas.microsoft.com/office/drawing/2014/main" id="{6DB678CA-8FB6-4515-BD50-2EE6D7ED9B6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95" name="CaixaDeTexto 94">
          <a:extLst>
            <a:ext uri="{FF2B5EF4-FFF2-40B4-BE49-F238E27FC236}">
              <a16:creationId xmlns:a16="http://schemas.microsoft.com/office/drawing/2014/main" id="{8B375883-0581-4922-967D-C7B7B386C1D4}"/>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96" name="CaixaDeTexto 95">
          <a:extLst>
            <a:ext uri="{FF2B5EF4-FFF2-40B4-BE49-F238E27FC236}">
              <a16:creationId xmlns:a16="http://schemas.microsoft.com/office/drawing/2014/main" id="{D63EB61A-5D69-47A5-9A12-B0A1D6A2169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97" name="CaixaDeTexto 96">
          <a:extLst>
            <a:ext uri="{FF2B5EF4-FFF2-40B4-BE49-F238E27FC236}">
              <a16:creationId xmlns:a16="http://schemas.microsoft.com/office/drawing/2014/main" id="{3DC053A2-BAF9-4FF4-B89B-8592C4C55A2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98" name="CaixaDeTexto 97">
          <a:extLst>
            <a:ext uri="{FF2B5EF4-FFF2-40B4-BE49-F238E27FC236}">
              <a16:creationId xmlns:a16="http://schemas.microsoft.com/office/drawing/2014/main" id="{2A3E5CEA-F95C-4F67-A4FE-CBC97ECB4F1F}"/>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99" name="CaixaDeTexto 98">
          <a:extLst>
            <a:ext uri="{FF2B5EF4-FFF2-40B4-BE49-F238E27FC236}">
              <a16:creationId xmlns:a16="http://schemas.microsoft.com/office/drawing/2014/main" id="{9854DD5C-2AF8-4768-BAB9-945D673E7AA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0" name="CaixaDeTexto 99">
          <a:extLst>
            <a:ext uri="{FF2B5EF4-FFF2-40B4-BE49-F238E27FC236}">
              <a16:creationId xmlns:a16="http://schemas.microsoft.com/office/drawing/2014/main" id="{A82C09E6-3B30-4F53-AB01-03E804F7075F}"/>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1" name="CaixaDeTexto 100">
          <a:extLst>
            <a:ext uri="{FF2B5EF4-FFF2-40B4-BE49-F238E27FC236}">
              <a16:creationId xmlns:a16="http://schemas.microsoft.com/office/drawing/2014/main" id="{D0B8BD8D-FB69-4337-9E59-ED410E3B32C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2" name="CaixaDeTexto 101">
          <a:extLst>
            <a:ext uri="{FF2B5EF4-FFF2-40B4-BE49-F238E27FC236}">
              <a16:creationId xmlns:a16="http://schemas.microsoft.com/office/drawing/2014/main" id="{71C113B7-2EA2-4394-8709-3F3CAF9B3073}"/>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3" name="CaixaDeTexto 102">
          <a:extLst>
            <a:ext uri="{FF2B5EF4-FFF2-40B4-BE49-F238E27FC236}">
              <a16:creationId xmlns:a16="http://schemas.microsoft.com/office/drawing/2014/main" id="{0F1472D9-A393-4B4E-9BEC-C739E343A640}"/>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4" name="CaixaDeTexto 103">
          <a:extLst>
            <a:ext uri="{FF2B5EF4-FFF2-40B4-BE49-F238E27FC236}">
              <a16:creationId xmlns:a16="http://schemas.microsoft.com/office/drawing/2014/main" id="{06CA35E2-D10B-4AF0-B269-8B94D82824A6}"/>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5" name="CaixaDeTexto 104">
          <a:extLst>
            <a:ext uri="{FF2B5EF4-FFF2-40B4-BE49-F238E27FC236}">
              <a16:creationId xmlns:a16="http://schemas.microsoft.com/office/drawing/2014/main" id="{C9ED5B1B-5173-4FFA-A932-0BBC855B1C8A}"/>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6" name="CaixaDeTexto 105">
          <a:extLst>
            <a:ext uri="{FF2B5EF4-FFF2-40B4-BE49-F238E27FC236}">
              <a16:creationId xmlns:a16="http://schemas.microsoft.com/office/drawing/2014/main" id="{51C81E60-1B24-45E2-8321-4F4E8B01B2B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7" name="CaixaDeTexto 106">
          <a:extLst>
            <a:ext uri="{FF2B5EF4-FFF2-40B4-BE49-F238E27FC236}">
              <a16:creationId xmlns:a16="http://schemas.microsoft.com/office/drawing/2014/main" id="{FD1FEE34-C4E6-4687-875A-ACA022C5C84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8" name="CaixaDeTexto 107">
          <a:extLst>
            <a:ext uri="{FF2B5EF4-FFF2-40B4-BE49-F238E27FC236}">
              <a16:creationId xmlns:a16="http://schemas.microsoft.com/office/drawing/2014/main" id="{9829822B-5483-4AFF-8844-2B02C32E19F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09" name="CaixaDeTexto 108">
          <a:extLst>
            <a:ext uri="{FF2B5EF4-FFF2-40B4-BE49-F238E27FC236}">
              <a16:creationId xmlns:a16="http://schemas.microsoft.com/office/drawing/2014/main" id="{7C3C3686-AF66-42EA-9E6C-67692C89D764}"/>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0" name="CaixaDeTexto 109">
          <a:extLst>
            <a:ext uri="{FF2B5EF4-FFF2-40B4-BE49-F238E27FC236}">
              <a16:creationId xmlns:a16="http://schemas.microsoft.com/office/drawing/2014/main" id="{8A1C4A1C-D638-4738-BAE1-1BD491EC4B3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1" name="CaixaDeTexto 110">
          <a:extLst>
            <a:ext uri="{FF2B5EF4-FFF2-40B4-BE49-F238E27FC236}">
              <a16:creationId xmlns:a16="http://schemas.microsoft.com/office/drawing/2014/main" id="{2DF2A5DA-67FD-40FD-9484-61DC6B854FC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2" name="CaixaDeTexto 111">
          <a:extLst>
            <a:ext uri="{FF2B5EF4-FFF2-40B4-BE49-F238E27FC236}">
              <a16:creationId xmlns:a16="http://schemas.microsoft.com/office/drawing/2014/main" id="{4546AF77-9575-4A5C-AB3A-54BE7A3A1E1F}"/>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3" name="CaixaDeTexto 112">
          <a:extLst>
            <a:ext uri="{FF2B5EF4-FFF2-40B4-BE49-F238E27FC236}">
              <a16:creationId xmlns:a16="http://schemas.microsoft.com/office/drawing/2014/main" id="{E755E56A-D56A-4768-A2D5-F1F6D8D0454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4" name="CaixaDeTexto 113">
          <a:extLst>
            <a:ext uri="{FF2B5EF4-FFF2-40B4-BE49-F238E27FC236}">
              <a16:creationId xmlns:a16="http://schemas.microsoft.com/office/drawing/2014/main" id="{CCF4ABC4-0078-46E2-B76F-DCAB755639A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5" name="CaixaDeTexto 114">
          <a:extLst>
            <a:ext uri="{FF2B5EF4-FFF2-40B4-BE49-F238E27FC236}">
              <a16:creationId xmlns:a16="http://schemas.microsoft.com/office/drawing/2014/main" id="{64E9A9F6-57F3-4814-AB34-FB8C0248C26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6" name="CaixaDeTexto 115">
          <a:extLst>
            <a:ext uri="{FF2B5EF4-FFF2-40B4-BE49-F238E27FC236}">
              <a16:creationId xmlns:a16="http://schemas.microsoft.com/office/drawing/2014/main" id="{DE7AA32A-373B-4F3F-9C49-A9A1EABF509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7" name="CaixaDeTexto 116">
          <a:extLst>
            <a:ext uri="{FF2B5EF4-FFF2-40B4-BE49-F238E27FC236}">
              <a16:creationId xmlns:a16="http://schemas.microsoft.com/office/drawing/2014/main" id="{8C8B51A8-C2B3-4733-AC0B-24D252894D9A}"/>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8" name="CaixaDeTexto 117">
          <a:extLst>
            <a:ext uri="{FF2B5EF4-FFF2-40B4-BE49-F238E27FC236}">
              <a16:creationId xmlns:a16="http://schemas.microsoft.com/office/drawing/2014/main" id="{BA7AC84F-CCAD-4093-AFC9-8217DB7FAD2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19" name="CaixaDeTexto 118">
          <a:extLst>
            <a:ext uri="{FF2B5EF4-FFF2-40B4-BE49-F238E27FC236}">
              <a16:creationId xmlns:a16="http://schemas.microsoft.com/office/drawing/2014/main" id="{4D64D4D2-CEC7-43FC-A50C-0540CC2A4FF1}"/>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0" name="CaixaDeTexto 119">
          <a:extLst>
            <a:ext uri="{FF2B5EF4-FFF2-40B4-BE49-F238E27FC236}">
              <a16:creationId xmlns:a16="http://schemas.microsoft.com/office/drawing/2014/main" id="{333EC162-ACF4-4126-9618-634BE16A9E2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1" name="CaixaDeTexto 120">
          <a:extLst>
            <a:ext uri="{FF2B5EF4-FFF2-40B4-BE49-F238E27FC236}">
              <a16:creationId xmlns:a16="http://schemas.microsoft.com/office/drawing/2014/main" id="{0462A4E9-6F69-4086-B8C7-3BF5E013C28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2" name="CaixaDeTexto 121">
          <a:extLst>
            <a:ext uri="{FF2B5EF4-FFF2-40B4-BE49-F238E27FC236}">
              <a16:creationId xmlns:a16="http://schemas.microsoft.com/office/drawing/2014/main" id="{95AB6ED9-62A7-42BA-A1AE-7F3F0B70D7CD}"/>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3" name="CaixaDeTexto 122">
          <a:extLst>
            <a:ext uri="{FF2B5EF4-FFF2-40B4-BE49-F238E27FC236}">
              <a16:creationId xmlns:a16="http://schemas.microsoft.com/office/drawing/2014/main" id="{39CD4559-0BFE-4BEE-B64F-069A45E72344}"/>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4" name="CaixaDeTexto 123">
          <a:extLst>
            <a:ext uri="{FF2B5EF4-FFF2-40B4-BE49-F238E27FC236}">
              <a16:creationId xmlns:a16="http://schemas.microsoft.com/office/drawing/2014/main" id="{4D835235-3F06-46A3-8A85-BB06B484329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5" name="CaixaDeTexto 124">
          <a:extLst>
            <a:ext uri="{FF2B5EF4-FFF2-40B4-BE49-F238E27FC236}">
              <a16:creationId xmlns:a16="http://schemas.microsoft.com/office/drawing/2014/main" id="{3971C582-5457-490F-BF3A-A21B0434985C}"/>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6" name="CaixaDeTexto 125">
          <a:extLst>
            <a:ext uri="{FF2B5EF4-FFF2-40B4-BE49-F238E27FC236}">
              <a16:creationId xmlns:a16="http://schemas.microsoft.com/office/drawing/2014/main" id="{08333A63-B7F0-4394-A0DF-FC9174659121}"/>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7" name="CaixaDeTexto 126">
          <a:extLst>
            <a:ext uri="{FF2B5EF4-FFF2-40B4-BE49-F238E27FC236}">
              <a16:creationId xmlns:a16="http://schemas.microsoft.com/office/drawing/2014/main" id="{23028AC9-6094-43E9-AE4C-A8DB36B3965D}"/>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8" name="CaixaDeTexto 127">
          <a:extLst>
            <a:ext uri="{FF2B5EF4-FFF2-40B4-BE49-F238E27FC236}">
              <a16:creationId xmlns:a16="http://schemas.microsoft.com/office/drawing/2014/main" id="{1D2897DF-D61D-4520-8F0E-65DE68CA91B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29" name="CaixaDeTexto 128">
          <a:extLst>
            <a:ext uri="{FF2B5EF4-FFF2-40B4-BE49-F238E27FC236}">
              <a16:creationId xmlns:a16="http://schemas.microsoft.com/office/drawing/2014/main" id="{48D7142B-2BDA-47FA-81D2-215B9F2972ED}"/>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0" name="CaixaDeTexto 129">
          <a:extLst>
            <a:ext uri="{FF2B5EF4-FFF2-40B4-BE49-F238E27FC236}">
              <a16:creationId xmlns:a16="http://schemas.microsoft.com/office/drawing/2014/main" id="{5FC5ECC3-4B87-4375-BE1D-CEAFE35EFB2A}"/>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1" name="CaixaDeTexto 130">
          <a:extLst>
            <a:ext uri="{FF2B5EF4-FFF2-40B4-BE49-F238E27FC236}">
              <a16:creationId xmlns:a16="http://schemas.microsoft.com/office/drawing/2014/main" id="{EE78F359-7029-4155-95F3-238D923DD6B4}"/>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2" name="CaixaDeTexto 131">
          <a:extLst>
            <a:ext uri="{FF2B5EF4-FFF2-40B4-BE49-F238E27FC236}">
              <a16:creationId xmlns:a16="http://schemas.microsoft.com/office/drawing/2014/main" id="{DBD6896F-B035-4E72-AA8F-6B11D2FE95C3}"/>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3" name="CaixaDeTexto 132">
          <a:extLst>
            <a:ext uri="{FF2B5EF4-FFF2-40B4-BE49-F238E27FC236}">
              <a16:creationId xmlns:a16="http://schemas.microsoft.com/office/drawing/2014/main" id="{7D131763-2BDE-432C-8FE1-BAF25847567E}"/>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4" name="CaixaDeTexto 133">
          <a:extLst>
            <a:ext uri="{FF2B5EF4-FFF2-40B4-BE49-F238E27FC236}">
              <a16:creationId xmlns:a16="http://schemas.microsoft.com/office/drawing/2014/main" id="{C401E404-EA6E-403D-961D-2685985593F1}"/>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5" name="CaixaDeTexto 134">
          <a:extLst>
            <a:ext uri="{FF2B5EF4-FFF2-40B4-BE49-F238E27FC236}">
              <a16:creationId xmlns:a16="http://schemas.microsoft.com/office/drawing/2014/main" id="{7962D13E-09E2-4B91-8F4B-0CF0C9CE51B3}"/>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6" name="CaixaDeTexto 135">
          <a:extLst>
            <a:ext uri="{FF2B5EF4-FFF2-40B4-BE49-F238E27FC236}">
              <a16:creationId xmlns:a16="http://schemas.microsoft.com/office/drawing/2014/main" id="{EBE12EAA-B4AF-4B4E-ABDF-3D1E1ADCC360}"/>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7" name="CaixaDeTexto 136">
          <a:extLst>
            <a:ext uri="{FF2B5EF4-FFF2-40B4-BE49-F238E27FC236}">
              <a16:creationId xmlns:a16="http://schemas.microsoft.com/office/drawing/2014/main" id="{610D3240-4EE6-4454-A8F0-065251524D3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8" name="CaixaDeTexto 137">
          <a:extLst>
            <a:ext uri="{FF2B5EF4-FFF2-40B4-BE49-F238E27FC236}">
              <a16:creationId xmlns:a16="http://schemas.microsoft.com/office/drawing/2014/main" id="{98541A95-BDFA-493C-B92E-93522616BCA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39" name="CaixaDeTexto 138">
          <a:extLst>
            <a:ext uri="{FF2B5EF4-FFF2-40B4-BE49-F238E27FC236}">
              <a16:creationId xmlns:a16="http://schemas.microsoft.com/office/drawing/2014/main" id="{496F0158-72B4-4E29-8E6B-EF46F01E0CA4}"/>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0" name="CaixaDeTexto 139">
          <a:extLst>
            <a:ext uri="{FF2B5EF4-FFF2-40B4-BE49-F238E27FC236}">
              <a16:creationId xmlns:a16="http://schemas.microsoft.com/office/drawing/2014/main" id="{818D00B4-84CF-41D5-9ED5-A01DAA4D9E21}"/>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1" name="CaixaDeTexto 140">
          <a:extLst>
            <a:ext uri="{FF2B5EF4-FFF2-40B4-BE49-F238E27FC236}">
              <a16:creationId xmlns:a16="http://schemas.microsoft.com/office/drawing/2014/main" id="{21D4A8EE-8A70-40CC-B3D3-7FB533C0CEFD}"/>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2" name="CaixaDeTexto 141">
          <a:extLst>
            <a:ext uri="{FF2B5EF4-FFF2-40B4-BE49-F238E27FC236}">
              <a16:creationId xmlns:a16="http://schemas.microsoft.com/office/drawing/2014/main" id="{912DCABD-48A7-4103-A5DC-B8DDD3650C70}"/>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3" name="CaixaDeTexto 142">
          <a:extLst>
            <a:ext uri="{FF2B5EF4-FFF2-40B4-BE49-F238E27FC236}">
              <a16:creationId xmlns:a16="http://schemas.microsoft.com/office/drawing/2014/main" id="{6C9B71EA-DDB8-4940-A61F-60AC20E5E9CF}"/>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4" name="CaixaDeTexto 143">
          <a:extLst>
            <a:ext uri="{FF2B5EF4-FFF2-40B4-BE49-F238E27FC236}">
              <a16:creationId xmlns:a16="http://schemas.microsoft.com/office/drawing/2014/main" id="{8D8825D8-E9B1-4C99-A0C6-C97C600B4F3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5" name="CaixaDeTexto 144">
          <a:extLst>
            <a:ext uri="{FF2B5EF4-FFF2-40B4-BE49-F238E27FC236}">
              <a16:creationId xmlns:a16="http://schemas.microsoft.com/office/drawing/2014/main" id="{3B2CEA4B-F86B-4F6E-A5B9-8303918C1474}"/>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6" name="CaixaDeTexto 145">
          <a:extLst>
            <a:ext uri="{FF2B5EF4-FFF2-40B4-BE49-F238E27FC236}">
              <a16:creationId xmlns:a16="http://schemas.microsoft.com/office/drawing/2014/main" id="{7FD81641-732F-400D-97DE-1DEE76CB878A}"/>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7" name="CaixaDeTexto 146">
          <a:extLst>
            <a:ext uri="{FF2B5EF4-FFF2-40B4-BE49-F238E27FC236}">
              <a16:creationId xmlns:a16="http://schemas.microsoft.com/office/drawing/2014/main" id="{8F2C4224-02BB-49C9-A909-6EAC94C8377D}"/>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8" name="CaixaDeTexto 147">
          <a:extLst>
            <a:ext uri="{FF2B5EF4-FFF2-40B4-BE49-F238E27FC236}">
              <a16:creationId xmlns:a16="http://schemas.microsoft.com/office/drawing/2014/main" id="{CBBE010C-BFD9-4432-B028-3EE0CC916C62}"/>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49" name="CaixaDeTexto 148">
          <a:extLst>
            <a:ext uri="{FF2B5EF4-FFF2-40B4-BE49-F238E27FC236}">
              <a16:creationId xmlns:a16="http://schemas.microsoft.com/office/drawing/2014/main" id="{5774474D-F1E1-4D81-82BA-01C2B1D241AE}"/>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0" name="CaixaDeTexto 149">
          <a:extLst>
            <a:ext uri="{FF2B5EF4-FFF2-40B4-BE49-F238E27FC236}">
              <a16:creationId xmlns:a16="http://schemas.microsoft.com/office/drawing/2014/main" id="{2A674705-FC58-408A-A712-E793F53B3295}"/>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1" name="CaixaDeTexto 150">
          <a:extLst>
            <a:ext uri="{FF2B5EF4-FFF2-40B4-BE49-F238E27FC236}">
              <a16:creationId xmlns:a16="http://schemas.microsoft.com/office/drawing/2014/main" id="{417FF506-B04F-4106-8018-4E8949885062}"/>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2" name="CaixaDeTexto 151">
          <a:extLst>
            <a:ext uri="{FF2B5EF4-FFF2-40B4-BE49-F238E27FC236}">
              <a16:creationId xmlns:a16="http://schemas.microsoft.com/office/drawing/2014/main" id="{5D79F3E2-24C7-4B20-B2BA-D9B50B1F2D8E}"/>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3" name="CaixaDeTexto 152">
          <a:extLst>
            <a:ext uri="{FF2B5EF4-FFF2-40B4-BE49-F238E27FC236}">
              <a16:creationId xmlns:a16="http://schemas.microsoft.com/office/drawing/2014/main" id="{501E02D7-BE98-4F55-B04C-D09368614AF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4" name="CaixaDeTexto 153">
          <a:extLst>
            <a:ext uri="{FF2B5EF4-FFF2-40B4-BE49-F238E27FC236}">
              <a16:creationId xmlns:a16="http://schemas.microsoft.com/office/drawing/2014/main" id="{9B8C16CA-046F-4115-8A3F-6990BF0E7E57}"/>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5" name="CaixaDeTexto 154">
          <a:extLst>
            <a:ext uri="{FF2B5EF4-FFF2-40B4-BE49-F238E27FC236}">
              <a16:creationId xmlns:a16="http://schemas.microsoft.com/office/drawing/2014/main" id="{704FE90C-56C5-41C7-8AD8-77AE61C027E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6" name="CaixaDeTexto 155">
          <a:extLst>
            <a:ext uri="{FF2B5EF4-FFF2-40B4-BE49-F238E27FC236}">
              <a16:creationId xmlns:a16="http://schemas.microsoft.com/office/drawing/2014/main" id="{F1DFA0F0-6A58-4996-A05E-B6846E4FF5F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212912" cy="242147"/>
    <xdr:sp macro="" textlink="">
      <xdr:nvSpPr>
        <xdr:cNvPr id="157" name="CaixaDeTexto 156">
          <a:extLst>
            <a:ext uri="{FF2B5EF4-FFF2-40B4-BE49-F238E27FC236}">
              <a16:creationId xmlns:a16="http://schemas.microsoft.com/office/drawing/2014/main" id="{341150B5-9A38-48A6-89D6-AF26EAE4FB89}"/>
            </a:ext>
          </a:extLst>
        </xdr:cNvPr>
        <xdr:cNvSpPr txBox="1"/>
      </xdr:nvSpPr>
      <xdr:spPr>
        <a:xfrm>
          <a:off x="5479676" y="36273441"/>
          <a:ext cx="212912" cy="24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8" name="CaixaDeTexto 157">
          <a:extLst>
            <a:ext uri="{FF2B5EF4-FFF2-40B4-BE49-F238E27FC236}">
              <a16:creationId xmlns:a16="http://schemas.microsoft.com/office/drawing/2014/main" id="{6E7E5CB3-38AC-494A-8C51-54DC0881F97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59" name="CaixaDeTexto 158">
          <a:extLst>
            <a:ext uri="{FF2B5EF4-FFF2-40B4-BE49-F238E27FC236}">
              <a16:creationId xmlns:a16="http://schemas.microsoft.com/office/drawing/2014/main" id="{D13C813C-0621-45BA-9653-BC9B31BB2842}"/>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0" name="CaixaDeTexto 159">
          <a:extLst>
            <a:ext uri="{FF2B5EF4-FFF2-40B4-BE49-F238E27FC236}">
              <a16:creationId xmlns:a16="http://schemas.microsoft.com/office/drawing/2014/main" id="{54F1D106-2818-4F8D-8448-35CEA236F8F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1" name="CaixaDeTexto 160">
          <a:extLst>
            <a:ext uri="{FF2B5EF4-FFF2-40B4-BE49-F238E27FC236}">
              <a16:creationId xmlns:a16="http://schemas.microsoft.com/office/drawing/2014/main" id="{3BD9AF2A-5FCE-4282-8787-170F9AE46498}"/>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2" name="CaixaDeTexto 161">
          <a:extLst>
            <a:ext uri="{FF2B5EF4-FFF2-40B4-BE49-F238E27FC236}">
              <a16:creationId xmlns:a16="http://schemas.microsoft.com/office/drawing/2014/main" id="{72545C01-F9E5-4016-9B40-E0BB169CD739}"/>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3" name="CaixaDeTexto 162">
          <a:extLst>
            <a:ext uri="{FF2B5EF4-FFF2-40B4-BE49-F238E27FC236}">
              <a16:creationId xmlns:a16="http://schemas.microsoft.com/office/drawing/2014/main" id="{EAE27BD7-AFF0-49F1-B412-27C8B5EC46AA}"/>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4" name="CaixaDeTexto 163">
          <a:extLst>
            <a:ext uri="{FF2B5EF4-FFF2-40B4-BE49-F238E27FC236}">
              <a16:creationId xmlns:a16="http://schemas.microsoft.com/office/drawing/2014/main" id="{6ADF0596-4D28-449E-9A59-5FA048F6C67A}"/>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5" name="CaixaDeTexto 164">
          <a:extLst>
            <a:ext uri="{FF2B5EF4-FFF2-40B4-BE49-F238E27FC236}">
              <a16:creationId xmlns:a16="http://schemas.microsoft.com/office/drawing/2014/main" id="{B974827D-BEBB-47BB-9036-E297DE37DAB1}"/>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6" name="CaixaDeTexto 165">
          <a:extLst>
            <a:ext uri="{FF2B5EF4-FFF2-40B4-BE49-F238E27FC236}">
              <a16:creationId xmlns:a16="http://schemas.microsoft.com/office/drawing/2014/main" id="{01E687D1-74F4-456A-BD2D-520B0DC7282C}"/>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7" name="CaixaDeTexto 166">
          <a:extLst>
            <a:ext uri="{FF2B5EF4-FFF2-40B4-BE49-F238E27FC236}">
              <a16:creationId xmlns:a16="http://schemas.microsoft.com/office/drawing/2014/main" id="{FE4FE204-4D7E-4EEA-A135-8B28D115009B}"/>
            </a:ext>
          </a:extLst>
        </xdr:cNvPr>
        <xdr:cNvSpPr txBox="1"/>
      </xdr:nvSpPr>
      <xdr:spPr>
        <a:xfrm>
          <a:off x="5479676" y="36273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8" name="CaixaDeTexto 167">
          <a:extLst>
            <a:ext uri="{FF2B5EF4-FFF2-40B4-BE49-F238E27FC236}">
              <a16:creationId xmlns:a16="http://schemas.microsoft.com/office/drawing/2014/main" id="{E3963AB1-2289-4523-8582-2EA0A9FBC878}"/>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69" name="CaixaDeTexto 168">
          <a:extLst>
            <a:ext uri="{FF2B5EF4-FFF2-40B4-BE49-F238E27FC236}">
              <a16:creationId xmlns:a16="http://schemas.microsoft.com/office/drawing/2014/main" id="{E759640D-CFDD-40E4-A402-83F9139F2DDB}"/>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0" name="CaixaDeTexto 169">
          <a:extLst>
            <a:ext uri="{FF2B5EF4-FFF2-40B4-BE49-F238E27FC236}">
              <a16:creationId xmlns:a16="http://schemas.microsoft.com/office/drawing/2014/main" id="{33C9DED7-76CA-4DDD-9B92-0A60D7FABDDE}"/>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1" name="CaixaDeTexto 170">
          <a:extLst>
            <a:ext uri="{FF2B5EF4-FFF2-40B4-BE49-F238E27FC236}">
              <a16:creationId xmlns:a16="http://schemas.microsoft.com/office/drawing/2014/main" id="{A2E00743-7395-4ADE-AE00-C8D8C264B9BD}"/>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2" name="CaixaDeTexto 171">
          <a:extLst>
            <a:ext uri="{FF2B5EF4-FFF2-40B4-BE49-F238E27FC236}">
              <a16:creationId xmlns:a16="http://schemas.microsoft.com/office/drawing/2014/main" id="{CF6B381D-0CF4-4EEA-8DA5-7E7C4857715B}"/>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3" name="CaixaDeTexto 172">
          <a:extLst>
            <a:ext uri="{FF2B5EF4-FFF2-40B4-BE49-F238E27FC236}">
              <a16:creationId xmlns:a16="http://schemas.microsoft.com/office/drawing/2014/main" id="{562C9235-4E09-4D30-A8A5-A80B6DFE995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4" name="CaixaDeTexto 173">
          <a:extLst>
            <a:ext uri="{FF2B5EF4-FFF2-40B4-BE49-F238E27FC236}">
              <a16:creationId xmlns:a16="http://schemas.microsoft.com/office/drawing/2014/main" id="{DAA29915-8F64-4C26-AE40-15A92EBA40B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5" name="CaixaDeTexto 174">
          <a:extLst>
            <a:ext uri="{FF2B5EF4-FFF2-40B4-BE49-F238E27FC236}">
              <a16:creationId xmlns:a16="http://schemas.microsoft.com/office/drawing/2014/main" id="{7083D039-3960-4A40-9481-740A2166E9A2}"/>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6" name="CaixaDeTexto 175">
          <a:extLst>
            <a:ext uri="{FF2B5EF4-FFF2-40B4-BE49-F238E27FC236}">
              <a16:creationId xmlns:a16="http://schemas.microsoft.com/office/drawing/2014/main" id="{A0268EAB-C899-4F64-B918-E8D6CCC3C4AE}"/>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7" name="CaixaDeTexto 176">
          <a:extLst>
            <a:ext uri="{FF2B5EF4-FFF2-40B4-BE49-F238E27FC236}">
              <a16:creationId xmlns:a16="http://schemas.microsoft.com/office/drawing/2014/main" id="{A667AB87-37B0-4B4F-ABDB-DCA2AA24F094}"/>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8" name="CaixaDeTexto 177">
          <a:extLst>
            <a:ext uri="{FF2B5EF4-FFF2-40B4-BE49-F238E27FC236}">
              <a16:creationId xmlns:a16="http://schemas.microsoft.com/office/drawing/2014/main" id="{6821C18C-5FD8-4DA5-BA80-363B9F262258}"/>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79" name="CaixaDeTexto 178">
          <a:extLst>
            <a:ext uri="{FF2B5EF4-FFF2-40B4-BE49-F238E27FC236}">
              <a16:creationId xmlns:a16="http://schemas.microsoft.com/office/drawing/2014/main" id="{13FCC29F-D9E0-40C1-BB5C-E2BF9B21235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0" name="CaixaDeTexto 179">
          <a:extLst>
            <a:ext uri="{FF2B5EF4-FFF2-40B4-BE49-F238E27FC236}">
              <a16:creationId xmlns:a16="http://schemas.microsoft.com/office/drawing/2014/main" id="{FCADF679-D06C-40BC-8271-558F9DCDB0A3}"/>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1" name="CaixaDeTexto 180">
          <a:extLst>
            <a:ext uri="{FF2B5EF4-FFF2-40B4-BE49-F238E27FC236}">
              <a16:creationId xmlns:a16="http://schemas.microsoft.com/office/drawing/2014/main" id="{183B19EE-A55E-4BAC-9030-E0214285CF3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2" name="CaixaDeTexto 181">
          <a:extLst>
            <a:ext uri="{FF2B5EF4-FFF2-40B4-BE49-F238E27FC236}">
              <a16:creationId xmlns:a16="http://schemas.microsoft.com/office/drawing/2014/main" id="{A0A53F08-FB98-4F97-ADFD-9A109934C3E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3" name="CaixaDeTexto 182">
          <a:extLst>
            <a:ext uri="{FF2B5EF4-FFF2-40B4-BE49-F238E27FC236}">
              <a16:creationId xmlns:a16="http://schemas.microsoft.com/office/drawing/2014/main" id="{5D846C5E-BEA8-41BE-84C2-8077D57C66C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4" name="CaixaDeTexto 183">
          <a:extLst>
            <a:ext uri="{FF2B5EF4-FFF2-40B4-BE49-F238E27FC236}">
              <a16:creationId xmlns:a16="http://schemas.microsoft.com/office/drawing/2014/main" id="{9EB60553-F1E4-4664-A080-734505769D0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5" name="CaixaDeTexto 184">
          <a:extLst>
            <a:ext uri="{FF2B5EF4-FFF2-40B4-BE49-F238E27FC236}">
              <a16:creationId xmlns:a16="http://schemas.microsoft.com/office/drawing/2014/main" id="{38301570-AC56-411F-A58B-6CCA2B7F6F87}"/>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6" name="CaixaDeTexto 185">
          <a:extLst>
            <a:ext uri="{FF2B5EF4-FFF2-40B4-BE49-F238E27FC236}">
              <a16:creationId xmlns:a16="http://schemas.microsoft.com/office/drawing/2014/main" id="{4864DF27-29F3-40A7-A65D-73EDCF4B02B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7" name="CaixaDeTexto 186">
          <a:extLst>
            <a:ext uri="{FF2B5EF4-FFF2-40B4-BE49-F238E27FC236}">
              <a16:creationId xmlns:a16="http://schemas.microsoft.com/office/drawing/2014/main" id="{C1AD01DC-C975-4011-B3F0-5CC322CD9194}"/>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8" name="CaixaDeTexto 187">
          <a:extLst>
            <a:ext uri="{FF2B5EF4-FFF2-40B4-BE49-F238E27FC236}">
              <a16:creationId xmlns:a16="http://schemas.microsoft.com/office/drawing/2014/main" id="{2A4A4E7B-6631-4282-9027-2B9298ED8A4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89" name="CaixaDeTexto 188">
          <a:extLst>
            <a:ext uri="{FF2B5EF4-FFF2-40B4-BE49-F238E27FC236}">
              <a16:creationId xmlns:a16="http://schemas.microsoft.com/office/drawing/2014/main" id="{11FD155D-1622-4297-B04B-3F263C420A2E}"/>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0" name="CaixaDeTexto 189">
          <a:extLst>
            <a:ext uri="{FF2B5EF4-FFF2-40B4-BE49-F238E27FC236}">
              <a16:creationId xmlns:a16="http://schemas.microsoft.com/office/drawing/2014/main" id="{625A07B5-D24D-41E2-91A4-E3D4646215A9}"/>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1" name="CaixaDeTexto 190">
          <a:extLst>
            <a:ext uri="{FF2B5EF4-FFF2-40B4-BE49-F238E27FC236}">
              <a16:creationId xmlns:a16="http://schemas.microsoft.com/office/drawing/2014/main" id="{6CC5CEDE-EF87-474D-A7F3-822412BA6D36}"/>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2" name="CaixaDeTexto 191">
          <a:extLst>
            <a:ext uri="{FF2B5EF4-FFF2-40B4-BE49-F238E27FC236}">
              <a16:creationId xmlns:a16="http://schemas.microsoft.com/office/drawing/2014/main" id="{C17DB54D-8662-4235-A500-37DD1912D8F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3" name="CaixaDeTexto 192">
          <a:extLst>
            <a:ext uri="{FF2B5EF4-FFF2-40B4-BE49-F238E27FC236}">
              <a16:creationId xmlns:a16="http://schemas.microsoft.com/office/drawing/2014/main" id="{28801FAA-8C22-4630-8FB8-A12B576AC21B}"/>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4" name="CaixaDeTexto 193">
          <a:extLst>
            <a:ext uri="{FF2B5EF4-FFF2-40B4-BE49-F238E27FC236}">
              <a16:creationId xmlns:a16="http://schemas.microsoft.com/office/drawing/2014/main" id="{BDCBA558-02FD-4F4E-82FB-39014DA5C2B2}"/>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5" name="CaixaDeTexto 194">
          <a:extLst>
            <a:ext uri="{FF2B5EF4-FFF2-40B4-BE49-F238E27FC236}">
              <a16:creationId xmlns:a16="http://schemas.microsoft.com/office/drawing/2014/main" id="{1DD9816D-769F-49A5-853B-87E54B06CA10}"/>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6" name="CaixaDeTexto 195">
          <a:extLst>
            <a:ext uri="{FF2B5EF4-FFF2-40B4-BE49-F238E27FC236}">
              <a16:creationId xmlns:a16="http://schemas.microsoft.com/office/drawing/2014/main" id="{2230CA4C-764A-4409-85D8-D01C7790BE9A}"/>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7" name="CaixaDeTexto 196">
          <a:extLst>
            <a:ext uri="{FF2B5EF4-FFF2-40B4-BE49-F238E27FC236}">
              <a16:creationId xmlns:a16="http://schemas.microsoft.com/office/drawing/2014/main" id="{062A5EB6-9D66-44CB-BD2C-ED97C8E7F94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8" name="CaixaDeTexto 197">
          <a:extLst>
            <a:ext uri="{FF2B5EF4-FFF2-40B4-BE49-F238E27FC236}">
              <a16:creationId xmlns:a16="http://schemas.microsoft.com/office/drawing/2014/main" id="{A9678C5D-4751-4BF1-95E7-E1296E016418}"/>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199" name="CaixaDeTexto 198">
          <a:extLst>
            <a:ext uri="{FF2B5EF4-FFF2-40B4-BE49-F238E27FC236}">
              <a16:creationId xmlns:a16="http://schemas.microsoft.com/office/drawing/2014/main" id="{5D6092EC-FAEA-4098-9208-9353025D194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0" name="CaixaDeTexto 199">
          <a:extLst>
            <a:ext uri="{FF2B5EF4-FFF2-40B4-BE49-F238E27FC236}">
              <a16:creationId xmlns:a16="http://schemas.microsoft.com/office/drawing/2014/main" id="{D6CDB382-2434-494B-872F-870DA90EB68B}"/>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1" name="CaixaDeTexto 200">
          <a:extLst>
            <a:ext uri="{FF2B5EF4-FFF2-40B4-BE49-F238E27FC236}">
              <a16:creationId xmlns:a16="http://schemas.microsoft.com/office/drawing/2014/main" id="{899AFADC-4E63-45F5-A94A-CAB34810296F}"/>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2" name="CaixaDeTexto 201">
          <a:extLst>
            <a:ext uri="{FF2B5EF4-FFF2-40B4-BE49-F238E27FC236}">
              <a16:creationId xmlns:a16="http://schemas.microsoft.com/office/drawing/2014/main" id="{6089C51D-F95B-4D89-AB22-75F0856ED38D}"/>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3" name="CaixaDeTexto 202">
          <a:extLst>
            <a:ext uri="{FF2B5EF4-FFF2-40B4-BE49-F238E27FC236}">
              <a16:creationId xmlns:a16="http://schemas.microsoft.com/office/drawing/2014/main" id="{A66BAEAB-D1B7-43B5-81E4-C208C48AE00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4" name="CaixaDeTexto 203">
          <a:extLst>
            <a:ext uri="{FF2B5EF4-FFF2-40B4-BE49-F238E27FC236}">
              <a16:creationId xmlns:a16="http://schemas.microsoft.com/office/drawing/2014/main" id="{5538E90A-971B-4DDA-B076-D7DBF3C33C7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5" name="CaixaDeTexto 204">
          <a:extLst>
            <a:ext uri="{FF2B5EF4-FFF2-40B4-BE49-F238E27FC236}">
              <a16:creationId xmlns:a16="http://schemas.microsoft.com/office/drawing/2014/main" id="{FBF8B76E-3F7F-465C-9174-0705A7EADD18}"/>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6" name="CaixaDeTexto 205">
          <a:extLst>
            <a:ext uri="{FF2B5EF4-FFF2-40B4-BE49-F238E27FC236}">
              <a16:creationId xmlns:a16="http://schemas.microsoft.com/office/drawing/2014/main" id="{1464B549-CC88-4FE7-9BFB-C359D62BA32F}"/>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7" name="CaixaDeTexto 206">
          <a:extLst>
            <a:ext uri="{FF2B5EF4-FFF2-40B4-BE49-F238E27FC236}">
              <a16:creationId xmlns:a16="http://schemas.microsoft.com/office/drawing/2014/main" id="{6F21666E-F629-417E-B9E5-28FAB9A797C7}"/>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8" name="CaixaDeTexto 207">
          <a:extLst>
            <a:ext uri="{FF2B5EF4-FFF2-40B4-BE49-F238E27FC236}">
              <a16:creationId xmlns:a16="http://schemas.microsoft.com/office/drawing/2014/main" id="{F7B86F36-4E72-42F9-BE46-459AA4662214}"/>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09" name="CaixaDeTexto 208">
          <a:extLst>
            <a:ext uri="{FF2B5EF4-FFF2-40B4-BE49-F238E27FC236}">
              <a16:creationId xmlns:a16="http://schemas.microsoft.com/office/drawing/2014/main" id="{FE9E464E-9A1C-433E-A036-D924CAEE570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0" name="CaixaDeTexto 209">
          <a:extLst>
            <a:ext uri="{FF2B5EF4-FFF2-40B4-BE49-F238E27FC236}">
              <a16:creationId xmlns:a16="http://schemas.microsoft.com/office/drawing/2014/main" id="{66BD138A-8877-4DF6-ADA4-E09E6A3CA8F9}"/>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1" name="CaixaDeTexto 210">
          <a:extLst>
            <a:ext uri="{FF2B5EF4-FFF2-40B4-BE49-F238E27FC236}">
              <a16:creationId xmlns:a16="http://schemas.microsoft.com/office/drawing/2014/main" id="{1CCC2F17-EA49-48BF-8F44-D781B11F5BE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2" name="CaixaDeTexto 211">
          <a:extLst>
            <a:ext uri="{FF2B5EF4-FFF2-40B4-BE49-F238E27FC236}">
              <a16:creationId xmlns:a16="http://schemas.microsoft.com/office/drawing/2014/main" id="{199A0281-C68C-4793-880C-B24C61A0628A}"/>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3" name="CaixaDeTexto 212">
          <a:extLst>
            <a:ext uri="{FF2B5EF4-FFF2-40B4-BE49-F238E27FC236}">
              <a16:creationId xmlns:a16="http://schemas.microsoft.com/office/drawing/2014/main" id="{696A452C-DBD2-4B31-9C1C-67DCB389798A}"/>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4" name="CaixaDeTexto 213">
          <a:extLst>
            <a:ext uri="{FF2B5EF4-FFF2-40B4-BE49-F238E27FC236}">
              <a16:creationId xmlns:a16="http://schemas.microsoft.com/office/drawing/2014/main" id="{0F203122-E2FB-4CCB-B395-F44F2C85186F}"/>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5" name="CaixaDeTexto 214">
          <a:extLst>
            <a:ext uri="{FF2B5EF4-FFF2-40B4-BE49-F238E27FC236}">
              <a16:creationId xmlns:a16="http://schemas.microsoft.com/office/drawing/2014/main" id="{A92386D9-A86D-47C7-9604-5AB1F6580EA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6" name="CaixaDeTexto 215">
          <a:extLst>
            <a:ext uri="{FF2B5EF4-FFF2-40B4-BE49-F238E27FC236}">
              <a16:creationId xmlns:a16="http://schemas.microsoft.com/office/drawing/2014/main" id="{F72675D2-D4A8-498C-A409-52ED8EC0A3F9}"/>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7" name="CaixaDeTexto 216">
          <a:extLst>
            <a:ext uri="{FF2B5EF4-FFF2-40B4-BE49-F238E27FC236}">
              <a16:creationId xmlns:a16="http://schemas.microsoft.com/office/drawing/2014/main" id="{BDBD8BD5-A385-4397-BD52-7E8176605AE3}"/>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8" name="CaixaDeTexto 217">
          <a:extLst>
            <a:ext uri="{FF2B5EF4-FFF2-40B4-BE49-F238E27FC236}">
              <a16:creationId xmlns:a16="http://schemas.microsoft.com/office/drawing/2014/main" id="{38832AD5-2911-49A6-91E8-68373691FD6E}"/>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19" name="CaixaDeTexto 218">
          <a:extLst>
            <a:ext uri="{FF2B5EF4-FFF2-40B4-BE49-F238E27FC236}">
              <a16:creationId xmlns:a16="http://schemas.microsoft.com/office/drawing/2014/main" id="{8F1D9538-D9DC-4D59-BF89-5886B46C3F0D}"/>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0" name="CaixaDeTexto 219">
          <a:extLst>
            <a:ext uri="{FF2B5EF4-FFF2-40B4-BE49-F238E27FC236}">
              <a16:creationId xmlns:a16="http://schemas.microsoft.com/office/drawing/2014/main" id="{E09CAC34-DFCC-481E-8234-BE54ED76038F}"/>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1" name="CaixaDeTexto 220">
          <a:extLst>
            <a:ext uri="{FF2B5EF4-FFF2-40B4-BE49-F238E27FC236}">
              <a16:creationId xmlns:a16="http://schemas.microsoft.com/office/drawing/2014/main" id="{39AEB944-C08E-431B-BAED-4AAA8A5649BE}"/>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2" name="CaixaDeTexto 221">
          <a:extLst>
            <a:ext uri="{FF2B5EF4-FFF2-40B4-BE49-F238E27FC236}">
              <a16:creationId xmlns:a16="http://schemas.microsoft.com/office/drawing/2014/main" id="{7F8B4B84-BC76-4CB9-9FB4-9AB5694E030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3" name="CaixaDeTexto 222">
          <a:extLst>
            <a:ext uri="{FF2B5EF4-FFF2-40B4-BE49-F238E27FC236}">
              <a16:creationId xmlns:a16="http://schemas.microsoft.com/office/drawing/2014/main" id="{B01C0AEE-D5CA-413B-8337-31DC7977D34A}"/>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4" name="CaixaDeTexto 223">
          <a:extLst>
            <a:ext uri="{FF2B5EF4-FFF2-40B4-BE49-F238E27FC236}">
              <a16:creationId xmlns:a16="http://schemas.microsoft.com/office/drawing/2014/main" id="{073CF3BB-2D11-441F-A44B-B0C0119E8B5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5" name="CaixaDeTexto 224">
          <a:extLst>
            <a:ext uri="{FF2B5EF4-FFF2-40B4-BE49-F238E27FC236}">
              <a16:creationId xmlns:a16="http://schemas.microsoft.com/office/drawing/2014/main" id="{E618C9CB-15CD-4DF3-9096-513BB8D5C1B6}"/>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6" name="CaixaDeTexto 225">
          <a:extLst>
            <a:ext uri="{FF2B5EF4-FFF2-40B4-BE49-F238E27FC236}">
              <a16:creationId xmlns:a16="http://schemas.microsoft.com/office/drawing/2014/main" id="{B017CAB5-4F9B-4F24-92A0-89FA304DEE06}"/>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7" name="CaixaDeTexto 226">
          <a:extLst>
            <a:ext uri="{FF2B5EF4-FFF2-40B4-BE49-F238E27FC236}">
              <a16:creationId xmlns:a16="http://schemas.microsoft.com/office/drawing/2014/main" id="{2220F2FE-8799-444F-A55E-9B171B72C5C0}"/>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8" name="CaixaDeTexto 227">
          <a:extLst>
            <a:ext uri="{FF2B5EF4-FFF2-40B4-BE49-F238E27FC236}">
              <a16:creationId xmlns:a16="http://schemas.microsoft.com/office/drawing/2014/main" id="{952EC0C7-D18E-4B5D-8693-348FD0DADC89}"/>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29" name="CaixaDeTexto 228">
          <a:extLst>
            <a:ext uri="{FF2B5EF4-FFF2-40B4-BE49-F238E27FC236}">
              <a16:creationId xmlns:a16="http://schemas.microsoft.com/office/drawing/2014/main" id="{8E77E328-36AC-431E-A1B6-78BB6B9B67C1}"/>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0" name="CaixaDeTexto 229">
          <a:extLst>
            <a:ext uri="{FF2B5EF4-FFF2-40B4-BE49-F238E27FC236}">
              <a16:creationId xmlns:a16="http://schemas.microsoft.com/office/drawing/2014/main" id="{BACB5E00-E295-482F-8F9A-6F06D8054C64}"/>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1" name="CaixaDeTexto 230">
          <a:extLst>
            <a:ext uri="{FF2B5EF4-FFF2-40B4-BE49-F238E27FC236}">
              <a16:creationId xmlns:a16="http://schemas.microsoft.com/office/drawing/2014/main" id="{C9EBB46C-72F8-42EE-BFEA-8A2841F13410}"/>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212912" cy="242147"/>
    <xdr:sp macro="" textlink="">
      <xdr:nvSpPr>
        <xdr:cNvPr id="232" name="CaixaDeTexto 231">
          <a:extLst>
            <a:ext uri="{FF2B5EF4-FFF2-40B4-BE49-F238E27FC236}">
              <a16:creationId xmlns:a16="http://schemas.microsoft.com/office/drawing/2014/main" id="{9A560BEA-F2B7-4693-B6AD-D455F3D8DEFF}"/>
            </a:ext>
          </a:extLst>
        </xdr:cNvPr>
        <xdr:cNvSpPr txBox="1"/>
      </xdr:nvSpPr>
      <xdr:spPr>
        <a:xfrm>
          <a:off x="5479676" y="36676853"/>
          <a:ext cx="212912" cy="24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3" name="CaixaDeTexto 232">
          <a:extLst>
            <a:ext uri="{FF2B5EF4-FFF2-40B4-BE49-F238E27FC236}">
              <a16:creationId xmlns:a16="http://schemas.microsoft.com/office/drawing/2014/main" id="{6F8EDE6E-9CF1-4377-B2D4-0089552D9650}"/>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4" name="CaixaDeTexto 233">
          <a:extLst>
            <a:ext uri="{FF2B5EF4-FFF2-40B4-BE49-F238E27FC236}">
              <a16:creationId xmlns:a16="http://schemas.microsoft.com/office/drawing/2014/main" id="{4BA3D90A-BC63-4E3B-A300-520B52F300FA}"/>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5" name="CaixaDeTexto 234">
          <a:extLst>
            <a:ext uri="{FF2B5EF4-FFF2-40B4-BE49-F238E27FC236}">
              <a16:creationId xmlns:a16="http://schemas.microsoft.com/office/drawing/2014/main" id="{DDCA0B6D-9C16-418F-89A4-1238B88B3E63}"/>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6" name="CaixaDeTexto 235">
          <a:extLst>
            <a:ext uri="{FF2B5EF4-FFF2-40B4-BE49-F238E27FC236}">
              <a16:creationId xmlns:a16="http://schemas.microsoft.com/office/drawing/2014/main" id="{272D216A-65E1-4923-8A0E-A14DB44F70FA}"/>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7" name="CaixaDeTexto 236">
          <a:extLst>
            <a:ext uri="{FF2B5EF4-FFF2-40B4-BE49-F238E27FC236}">
              <a16:creationId xmlns:a16="http://schemas.microsoft.com/office/drawing/2014/main" id="{F01D3C87-D0B1-4673-87D1-F6B526CCDAE7}"/>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8" name="CaixaDeTexto 237">
          <a:extLst>
            <a:ext uri="{FF2B5EF4-FFF2-40B4-BE49-F238E27FC236}">
              <a16:creationId xmlns:a16="http://schemas.microsoft.com/office/drawing/2014/main" id="{66418C51-45AD-40CE-B13D-F6D081F1014D}"/>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39" name="CaixaDeTexto 238">
          <a:extLst>
            <a:ext uri="{FF2B5EF4-FFF2-40B4-BE49-F238E27FC236}">
              <a16:creationId xmlns:a16="http://schemas.microsoft.com/office/drawing/2014/main" id="{C1FB9928-3883-4108-9FBB-9518D1AFE34C}"/>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40" name="CaixaDeTexto 239">
          <a:extLst>
            <a:ext uri="{FF2B5EF4-FFF2-40B4-BE49-F238E27FC236}">
              <a16:creationId xmlns:a16="http://schemas.microsoft.com/office/drawing/2014/main" id="{440914BD-3132-412B-A0E4-AA76FC3ACD0F}"/>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41" name="CaixaDeTexto 240">
          <a:extLst>
            <a:ext uri="{FF2B5EF4-FFF2-40B4-BE49-F238E27FC236}">
              <a16:creationId xmlns:a16="http://schemas.microsoft.com/office/drawing/2014/main" id="{749602AF-2A7F-4B10-B708-248C3E8D097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3810000</xdr:colOff>
      <xdr:row>166</xdr:row>
      <xdr:rowOff>0</xdr:rowOff>
    </xdr:from>
    <xdr:ext cx="184731" cy="264560"/>
    <xdr:sp macro="" textlink="">
      <xdr:nvSpPr>
        <xdr:cNvPr id="242" name="CaixaDeTexto 241">
          <a:extLst>
            <a:ext uri="{FF2B5EF4-FFF2-40B4-BE49-F238E27FC236}">
              <a16:creationId xmlns:a16="http://schemas.microsoft.com/office/drawing/2014/main" id="{3C4CABF5-44A2-41AF-AF71-32D56B87AEE5}"/>
            </a:ext>
          </a:extLst>
        </xdr:cNvPr>
        <xdr:cNvSpPr txBox="1"/>
      </xdr:nvSpPr>
      <xdr:spPr>
        <a:xfrm>
          <a:off x="5479676" y="36676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0338" name="Picture 1">
          <a:extLst>
            <a:ext uri="{FF2B5EF4-FFF2-40B4-BE49-F238E27FC236}">
              <a16:creationId xmlns:a16="http://schemas.microsoft.com/office/drawing/2014/main" id="{7B217A83-5C25-470C-8EAC-7D31253EF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0339" name="Picture 2" descr="BRASAO">
          <a:extLst>
            <a:ext uri="{FF2B5EF4-FFF2-40B4-BE49-F238E27FC236}">
              <a16:creationId xmlns:a16="http://schemas.microsoft.com/office/drawing/2014/main" id="{75B8EFAB-01A1-4D17-A535-A6CF9ECD96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0340" name="Picture 4" descr="imagem1">
          <a:extLst>
            <a:ext uri="{FF2B5EF4-FFF2-40B4-BE49-F238E27FC236}">
              <a16:creationId xmlns:a16="http://schemas.microsoft.com/office/drawing/2014/main" id="{B80DA9DF-2649-4C62-A166-997BB16913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0341" name="Picture 5">
          <a:extLst>
            <a:ext uri="{FF2B5EF4-FFF2-40B4-BE49-F238E27FC236}">
              <a16:creationId xmlns:a16="http://schemas.microsoft.com/office/drawing/2014/main" id="{43B1E97B-2890-480F-8578-10705A559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0342" name="Picture 6">
          <a:extLst>
            <a:ext uri="{FF2B5EF4-FFF2-40B4-BE49-F238E27FC236}">
              <a16:creationId xmlns:a16="http://schemas.microsoft.com/office/drawing/2014/main" id="{960C4543-28AB-48D5-BC4D-C7970EC5B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0343" name="Picture 7">
          <a:extLst>
            <a:ext uri="{FF2B5EF4-FFF2-40B4-BE49-F238E27FC236}">
              <a16:creationId xmlns:a16="http://schemas.microsoft.com/office/drawing/2014/main" id="{569CEDC4-013E-4E18-BF0A-899BDF14E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371475</xdr:colOff>
      <xdr:row>0</xdr:row>
      <xdr:rowOff>0</xdr:rowOff>
    </xdr:from>
    <xdr:to>
      <xdr:col>5</xdr:col>
      <xdr:colOff>666750</xdr:colOff>
      <xdr:row>0</xdr:row>
      <xdr:rowOff>0</xdr:rowOff>
    </xdr:to>
    <xdr:sp macro="" textlink="">
      <xdr:nvSpPr>
        <xdr:cNvPr id="966942" name="Line 1">
          <a:extLst>
            <a:ext uri="{FF2B5EF4-FFF2-40B4-BE49-F238E27FC236}">
              <a16:creationId xmlns:a16="http://schemas.microsoft.com/office/drawing/2014/main" id="{2E943DDC-3EFE-4973-95F0-2F33B3286EA9}"/>
            </a:ext>
          </a:extLst>
        </xdr:cNvPr>
        <xdr:cNvSpPr>
          <a:spLocks noChangeShapeType="1"/>
        </xdr:cNvSpPr>
      </xdr:nvSpPr>
      <xdr:spPr bwMode="auto">
        <a:xfrm>
          <a:off x="97250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43" name="Line 2">
          <a:extLst>
            <a:ext uri="{FF2B5EF4-FFF2-40B4-BE49-F238E27FC236}">
              <a16:creationId xmlns:a16="http://schemas.microsoft.com/office/drawing/2014/main" id="{B044C4F4-0273-4562-B54E-8A93852CB5E6}"/>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44" name="Line 3">
          <a:extLst>
            <a:ext uri="{FF2B5EF4-FFF2-40B4-BE49-F238E27FC236}">
              <a16:creationId xmlns:a16="http://schemas.microsoft.com/office/drawing/2014/main" id="{01617CDB-9684-478D-A69A-BC566B34C047}"/>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666750</xdr:colOff>
      <xdr:row>0</xdr:row>
      <xdr:rowOff>0</xdr:rowOff>
    </xdr:to>
    <xdr:sp macro="" textlink="">
      <xdr:nvSpPr>
        <xdr:cNvPr id="966945" name="Line 4">
          <a:extLst>
            <a:ext uri="{FF2B5EF4-FFF2-40B4-BE49-F238E27FC236}">
              <a16:creationId xmlns:a16="http://schemas.microsoft.com/office/drawing/2014/main" id="{7B3743F6-7112-492B-9839-DFA93BAB4611}"/>
            </a:ext>
          </a:extLst>
        </xdr:cNvPr>
        <xdr:cNvSpPr>
          <a:spLocks noChangeShapeType="1"/>
        </xdr:cNvSpPr>
      </xdr:nvSpPr>
      <xdr:spPr bwMode="auto">
        <a:xfrm>
          <a:off x="97250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666750</xdr:colOff>
      <xdr:row>0</xdr:row>
      <xdr:rowOff>0</xdr:rowOff>
    </xdr:to>
    <xdr:sp macro="" textlink="">
      <xdr:nvSpPr>
        <xdr:cNvPr id="966946" name="Line 5">
          <a:extLst>
            <a:ext uri="{FF2B5EF4-FFF2-40B4-BE49-F238E27FC236}">
              <a16:creationId xmlns:a16="http://schemas.microsoft.com/office/drawing/2014/main" id="{7326356F-2D3F-4A04-A8A6-5749D944A6A0}"/>
            </a:ext>
          </a:extLst>
        </xdr:cNvPr>
        <xdr:cNvSpPr>
          <a:spLocks noChangeShapeType="1"/>
        </xdr:cNvSpPr>
      </xdr:nvSpPr>
      <xdr:spPr bwMode="auto">
        <a:xfrm>
          <a:off x="97250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47" name="Line 6">
          <a:extLst>
            <a:ext uri="{FF2B5EF4-FFF2-40B4-BE49-F238E27FC236}">
              <a16:creationId xmlns:a16="http://schemas.microsoft.com/office/drawing/2014/main" id="{7A7737E3-FCFB-445B-8375-BC542A8C6999}"/>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48" name="Line 7">
          <a:extLst>
            <a:ext uri="{FF2B5EF4-FFF2-40B4-BE49-F238E27FC236}">
              <a16:creationId xmlns:a16="http://schemas.microsoft.com/office/drawing/2014/main" id="{EDE75B23-0068-47AD-A8B6-6016B49F4475}"/>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666750</xdr:colOff>
      <xdr:row>0</xdr:row>
      <xdr:rowOff>0</xdr:rowOff>
    </xdr:to>
    <xdr:sp macro="" textlink="">
      <xdr:nvSpPr>
        <xdr:cNvPr id="966949" name="Line 8">
          <a:extLst>
            <a:ext uri="{FF2B5EF4-FFF2-40B4-BE49-F238E27FC236}">
              <a16:creationId xmlns:a16="http://schemas.microsoft.com/office/drawing/2014/main" id="{6D89DA91-A854-43B4-8481-E65C59B4A050}"/>
            </a:ext>
          </a:extLst>
        </xdr:cNvPr>
        <xdr:cNvSpPr>
          <a:spLocks noChangeShapeType="1"/>
        </xdr:cNvSpPr>
      </xdr:nvSpPr>
      <xdr:spPr bwMode="auto">
        <a:xfrm>
          <a:off x="97250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666750</xdr:colOff>
      <xdr:row>0</xdr:row>
      <xdr:rowOff>0</xdr:rowOff>
    </xdr:to>
    <xdr:sp macro="" textlink="">
      <xdr:nvSpPr>
        <xdr:cNvPr id="966950" name="Line 9">
          <a:extLst>
            <a:ext uri="{FF2B5EF4-FFF2-40B4-BE49-F238E27FC236}">
              <a16:creationId xmlns:a16="http://schemas.microsoft.com/office/drawing/2014/main" id="{BA75F5F3-E69F-42F6-AF6F-2E1786D0EB5E}"/>
            </a:ext>
          </a:extLst>
        </xdr:cNvPr>
        <xdr:cNvSpPr>
          <a:spLocks noChangeShapeType="1"/>
        </xdr:cNvSpPr>
      </xdr:nvSpPr>
      <xdr:spPr bwMode="auto">
        <a:xfrm>
          <a:off x="97250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51" name="Line 10">
          <a:extLst>
            <a:ext uri="{FF2B5EF4-FFF2-40B4-BE49-F238E27FC236}">
              <a16:creationId xmlns:a16="http://schemas.microsoft.com/office/drawing/2014/main" id="{9643BF1B-DE08-450C-989B-0F102E86F2EB}"/>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52" name="Line 11">
          <a:extLst>
            <a:ext uri="{FF2B5EF4-FFF2-40B4-BE49-F238E27FC236}">
              <a16:creationId xmlns:a16="http://schemas.microsoft.com/office/drawing/2014/main" id="{C069F0AB-9FAB-42C2-B18B-84A7BBC2B153}"/>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666750</xdr:colOff>
      <xdr:row>0</xdr:row>
      <xdr:rowOff>0</xdr:rowOff>
    </xdr:to>
    <xdr:sp macro="" textlink="">
      <xdr:nvSpPr>
        <xdr:cNvPr id="966953" name="Line 12">
          <a:extLst>
            <a:ext uri="{FF2B5EF4-FFF2-40B4-BE49-F238E27FC236}">
              <a16:creationId xmlns:a16="http://schemas.microsoft.com/office/drawing/2014/main" id="{27B3C8AB-F14A-4630-8B6D-E5A260FBABE6}"/>
            </a:ext>
          </a:extLst>
        </xdr:cNvPr>
        <xdr:cNvSpPr>
          <a:spLocks noChangeShapeType="1"/>
        </xdr:cNvSpPr>
      </xdr:nvSpPr>
      <xdr:spPr bwMode="auto">
        <a:xfrm>
          <a:off x="97250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180975</xdr:colOff>
      <xdr:row>0</xdr:row>
      <xdr:rowOff>0</xdr:rowOff>
    </xdr:from>
    <xdr:to>
      <xdr:col>9</xdr:col>
      <xdr:colOff>828675</xdr:colOff>
      <xdr:row>0</xdr:row>
      <xdr:rowOff>0</xdr:rowOff>
    </xdr:to>
    <xdr:pic>
      <xdr:nvPicPr>
        <xdr:cNvPr id="966954" name="Picture 16" descr="imagem1">
          <a:extLst>
            <a:ext uri="{FF2B5EF4-FFF2-40B4-BE49-F238E27FC236}">
              <a16:creationId xmlns:a16="http://schemas.microsoft.com/office/drawing/2014/main" id="{A0FD7BE0-9533-43D1-AA55-A76E2162B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1090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0</xdr:row>
      <xdr:rowOff>0</xdr:rowOff>
    </xdr:from>
    <xdr:to>
      <xdr:col>6</xdr:col>
      <xdr:colOff>666750</xdr:colOff>
      <xdr:row>0</xdr:row>
      <xdr:rowOff>0</xdr:rowOff>
    </xdr:to>
    <xdr:sp macro="" textlink="">
      <xdr:nvSpPr>
        <xdr:cNvPr id="966955" name="Line 17">
          <a:extLst>
            <a:ext uri="{FF2B5EF4-FFF2-40B4-BE49-F238E27FC236}">
              <a16:creationId xmlns:a16="http://schemas.microsoft.com/office/drawing/2014/main" id="{8F77ED7A-B80F-4A07-9880-8823F799EA96}"/>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371475</xdr:colOff>
      <xdr:row>0</xdr:row>
      <xdr:rowOff>0</xdr:rowOff>
    </xdr:from>
    <xdr:to>
      <xdr:col>7</xdr:col>
      <xdr:colOff>666750</xdr:colOff>
      <xdr:row>0</xdr:row>
      <xdr:rowOff>0</xdr:rowOff>
    </xdr:to>
    <xdr:sp macro="" textlink="">
      <xdr:nvSpPr>
        <xdr:cNvPr id="966956" name="Line 18">
          <a:extLst>
            <a:ext uri="{FF2B5EF4-FFF2-40B4-BE49-F238E27FC236}">
              <a16:creationId xmlns:a16="http://schemas.microsoft.com/office/drawing/2014/main" id="{6AC5ED88-9963-41A7-ADE7-B1F64C04E743}"/>
            </a:ext>
          </a:extLst>
        </xdr:cNvPr>
        <xdr:cNvSpPr>
          <a:spLocks noChangeShapeType="1"/>
        </xdr:cNvSpPr>
      </xdr:nvSpPr>
      <xdr:spPr bwMode="auto">
        <a:xfrm>
          <a:off x="10829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371475</xdr:colOff>
      <xdr:row>0</xdr:row>
      <xdr:rowOff>0</xdr:rowOff>
    </xdr:from>
    <xdr:to>
      <xdr:col>7</xdr:col>
      <xdr:colOff>666750</xdr:colOff>
      <xdr:row>0</xdr:row>
      <xdr:rowOff>0</xdr:rowOff>
    </xdr:to>
    <xdr:sp macro="" textlink="">
      <xdr:nvSpPr>
        <xdr:cNvPr id="966957" name="Line 19">
          <a:extLst>
            <a:ext uri="{FF2B5EF4-FFF2-40B4-BE49-F238E27FC236}">
              <a16:creationId xmlns:a16="http://schemas.microsoft.com/office/drawing/2014/main" id="{FE8ECF5F-2DD7-4941-8442-FAD956489C16}"/>
            </a:ext>
          </a:extLst>
        </xdr:cNvPr>
        <xdr:cNvSpPr>
          <a:spLocks noChangeShapeType="1"/>
        </xdr:cNvSpPr>
      </xdr:nvSpPr>
      <xdr:spPr bwMode="auto">
        <a:xfrm>
          <a:off x="10829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58" name="Line 20">
          <a:extLst>
            <a:ext uri="{FF2B5EF4-FFF2-40B4-BE49-F238E27FC236}">
              <a16:creationId xmlns:a16="http://schemas.microsoft.com/office/drawing/2014/main" id="{410BFE08-BC8E-4DBE-ACC0-473FF9D11EA3}"/>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59" name="Line 21">
          <a:extLst>
            <a:ext uri="{FF2B5EF4-FFF2-40B4-BE49-F238E27FC236}">
              <a16:creationId xmlns:a16="http://schemas.microsoft.com/office/drawing/2014/main" id="{A9B77C5B-779F-4745-82EC-0A72ED8AFC39}"/>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371475</xdr:colOff>
      <xdr:row>0</xdr:row>
      <xdr:rowOff>0</xdr:rowOff>
    </xdr:from>
    <xdr:to>
      <xdr:col>7</xdr:col>
      <xdr:colOff>666750</xdr:colOff>
      <xdr:row>0</xdr:row>
      <xdr:rowOff>0</xdr:rowOff>
    </xdr:to>
    <xdr:sp macro="" textlink="">
      <xdr:nvSpPr>
        <xdr:cNvPr id="966960" name="Line 22">
          <a:extLst>
            <a:ext uri="{FF2B5EF4-FFF2-40B4-BE49-F238E27FC236}">
              <a16:creationId xmlns:a16="http://schemas.microsoft.com/office/drawing/2014/main" id="{A11598CD-5077-4260-A62D-57C94F4E8D30}"/>
            </a:ext>
          </a:extLst>
        </xdr:cNvPr>
        <xdr:cNvSpPr>
          <a:spLocks noChangeShapeType="1"/>
        </xdr:cNvSpPr>
      </xdr:nvSpPr>
      <xdr:spPr bwMode="auto">
        <a:xfrm>
          <a:off x="10829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371475</xdr:colOff>
      <xdr:row>0</xdr:row>
      <xdr:rowOff>0</xdr:rowOff>
    </xdr:from>
    <xdr:to>
      <xdr:col>7</xdr:col>
      <xdr:colOff>666750</xdr:colOff>
      <xdr:row>0</xdr:row>
      <xdr:rowOff>0</xdr:rowOff>
    </xdr:to>
    <xdr:sp macro="" textlink="">
      <xdr:nvSpPr>
        <xdr:cNvPr id="966961" name="Line 23">
          <a:extLst>
            <a:ext uri="{FF2B5EF4-FFF2-40B4-BE49-F238E27FC236}">
              <a16:creationId xmlns:a16="http://schemas.microsoft.com/office/drawing/2014/main" id="{2DCE6664-65B1-4F06-949B-CB488CDAAE53}"/>
            </a:ext>
          </a:extLst>
        </xdr:cNvPr>
        <xdr:cNvSpPr>
          <a:spLocks noChangeShapeType="1"/>
        </xdr:cNvSpPr>
      </xdr:nvSpPr>
      <xdr:spPr bwMode="auto">
        <a:xfrm>
          <a:off x="10829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62" name="Line 24">
          <a:extLst>
            <a:ext uri="{FF2B5EF4-FFF2-40B4-BE49-F238E27FC236}">
              <a16:creationId xmlns:a16="http://schemas.microsoft.com/office/drawing/2014/main" id="{5E9E4F28-35A2-4496-83A5-70F1BAE667C2}"/>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63" name="Line 25">
          <a:extLst>
            <a:ext uri="{FF2B5EF4-FFF2-40B4-BE49-F238E27FC236}">
              <a16:creationId xmlns:a16="http://schemas.microsoft.com/office/drawing/2014/main" id="{D2299803-7532-4297-A96A-5EC2A4758DBD}"/>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371475</xdr:colOff>
      <xdr:row>0</xdr:row>
      <xdr:rowOff>0</xdr:rowOff>
    </xdr:from>
    <xdr:to>
      <xdr:col>7</xdr:col>
      <xdr:colOff>666750</xdr:colOff>
      <xdr:row>0</xdr:row>
      <xdr:rowOff>0</xdr:rowOff>
    </xdr:to>
    <xdr:sp macro="" textlink="">
      <xdr:nvSpPr>
        <xdr:cNvPr id="966964" name="Line 26">
          <a:extLst>
            <a:ext uri="{FF2B5EF4-FFF2-40B4-BE49-F238E27FC236}">
              <a16:creationId xmlns:a16="http://schemas.microsoft.com/office/drawing/2014/main" id="{382750CD-1DA5-4629-BC26-302B32026E8A}"/>
            </a:ext>
          </a:extLst>
        </xdr:cNvPr>
        <xdr:cNvSpPr>
          <a:spLocks noChangeShapeType="1"/>
        </xdr:cNvSpPr>
      </xdr:nvSpPr>
      <xdr:spPr bwMode="auto">
        <a:xfrm>
          <a:off x="10829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371475</xdr:colOff>
      <xdr:row>0</xdr:row>
      <xdr:rowOff>0</xdr:rowOff>
    </xdr:from>
    <xdr:to>
      <xdr:col>7</xdr:col>
      <xdr:colOff>666750</xdr:colOff>
      <xdr:row>0</xdr:row>
      <xdr:rowOff>0</xdr:rowOff>
    </xdr:to>
    <xdr:sp macro="" textlink="">
      <xdr:nvSpPr>
        <xdr:cNvPr id="966965" name="Line 27">
          <a:extLst>
            <a:ext uri="{FF2B5EF4-FFF2-40B4-BE49-F238E27FC236}">
              <a16:creationId xmlns:a16="http://schemas.microsoft.com/office/drawing/2014/main" id="{60BA7A1F-F612-4FBD-9926-86E3EA3A7527}"/>
            </a:ext>
          </a:extLst>
        </xdr:cNvPr>
        <xdr:cNvSpPr>
          <a:spLocks noChangeShapeType="1"/>
        </xdr:cNvSpPr>
      </xdr:nvSpPr>
      <xdr:spPr bwMode="auto">
        <a:xfrm>
          <a:off x="10829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0</xdr:row>
      <xdr:rowOff>0</xdr:rowOff>
    </xdr:from>
    <xdr:to>
      <xdr:col>6</xdr:col>
      <xdr:colOff>666750</xdr:colOff>
      <xdr:row>0</xdr:row>
      <xdr:rowOff>0</xdr:rowOff>
    </xdr:to>
    <xdr:sp macro="" textlink="">
      <xdr:nvSpPr>
        <xdr:cNvPr id="966966" name="Line 28">
          <a:extLst>
            <a:ext uri="{FF2B5EF4-FFF2-40B4-BE49-F238E27FC236}">
              <a16:creationId xmlns:a16="http://schemas.microsoft.com/office/drawing/2014/main" id="{07773F6F-13D9-453C-8DBB-5F44FED32F3F}"/>
            </a:ext>
          </a:extLst>
        </xdr:cNvPr>
        <xdr:cNvSpPr>
          <a:spLocks noChangeShapeType="1"/>
        </xdr:cNvSpPr>
      </xdr:nvSpPr>
      <xdr:spPr bwMode="auto">
        <a:xfrm>
          <a:off x="10096500" y="0"/>
          <a:ext cx="2952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180975</xdr:colOff>
      <xdr:row>0</xdr:row>
      <xdr:rowOff>47625</xdr:rowOff>
    </xdr:from>
    <xdr:to>
      <xdr:col>10</xdr:col>
      <xdr:colOff>828675</xdr:colOff>
      <xdr:row>3</xdr:row>
      <xdr:rowOff>190500</xdr:rowOff>
    </xdr:to>
    <xdr:pic>
      <xdr:nvPicPr>
        <xdr:cNvPr id="966967" name="Picture 30" descr="imagem1">
          <a:extLst>
            <a:ext uri="{FF2B5EF4-FFF2-40B4-BE49-F238E27FC236}">
              <a16:creationId xmlns:a16="http://schemas.microsoft.com/office/drawing/2014/main" id="{6EBB2BA9-EAC0-400F-B8DC-7BCA03859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0" y="47625"/>
          <a:ext cx="647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6162675</xdr:colOff>
      <xdr:row>0</xdr:row>
      <xdr:rowOff>0</xdr:rowOff>
    </xdr:from>
    <xdr:to>
      <xdr:col>4</xdr:col>
      <xdr:colOff>0</xdr:colOff>
      <xdr:row>0</xdr:row>
      <xdr:rowOff>0</xdr:rowOff>
    </xdr:to>
    <xdr:pic>
      <xdr:nvPicPr>
        <xdr:cNvPr id="967900" name="Picture 1" descr="LOGO GOVERNO FINAL1">
          <a:extLst>
            <a:ext uri="{FF2B5EF4-FFF2-40B4-BE49-F238E27FC236}">
              <a16:creationId xmlns:a16="http://schemas.microsoft.com/office/drawing/2014/main" id="{2F9F17C3-18FA-4B5A-BC1C-5A0E47721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35" t="20328" r="85934" b="46599"/>
        <a:stretch>
          <a:fillRect/>
        </a:stretch>
      </xdr:blipFill>
      <xdr:spPr bwMode="auto">
        <a:xfrm>
          <a:off x="3724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0</xdr:rowOff>
    </xdr:from>
    <xdr:to>
      <xdr:col>0</xdr:col>
      <xdr:colOff>438150</xdr:colOff>
      <xdr:row>0</xdr:row>
      <xdr:rowOff>0</xdr:rowOff>
    </xdr:to>
    <xdr:pic>
      <xdr:nvPicPr>
        <xdr:cNvPr id="967901" name="Picture 2" descr="BRASAO">
          <a:extLst>
            <a:ext uri="{FF2B5EF4-FFF2-40B4-BE49-F238E27FC236}">
              <a16:creationId xmlns:a16="http://schemas.microsoft.com/office/drawing/2014/main" id="{57A8457D-7DFF-4848-A286-49CDAD1FF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0</xdr:row>
      <xdr:rowOff>0</xdr:rowOff>
    </xdr:from>
    <xdr:to>
      <xdr:col>8</xdr:col>
      <xdr:colOff>219075</xdr:colOff>
      <xdr:row>0</xdr:row>
      <xdr:rowOff>0</xdr:rowOff>
    </xdr:to>
    <xdr:pic>
      <xdr:nvPicPr>
        <xdr:cNvPr id="967902" name="Picture 5" descr="imagem">
          <a:extLst>
            <a:ext uri="{FF2B5EF4-FFF2-40B4-BE49-F238E27FC236}">
              <a16:creationId xmlns:a16="http://schemas.microsoft.com/office/drawing/2014/main" id="{CEBFE9D7-9B56-4558-A83C-4D8B1990B2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676275</xdr:colOff>
      <xdr:row>0</xdr:row>
      <xdr:rowOff>0</xdr:rowOff>
    </xdr:from>
    <xdr:to>
      <xdr:col>9</xdr:col>
      <xdr:colOff>400050</xdr:colOff>
      <xdr:row>0</xdr:row>
      <xdr:rowOff>0</xdr:rowOff>
    </xdr:to>
    <xdr:pic>
      <xdr:nvPicPr>
        <xdr:cNvPr id="967903" name="Picture 6" descr="imagem1">
          <a:extLst>
            <a:ext uri="{FF2B5EF4-FFF2-40B4-BE49-F238E27FC236}">
              <a16:creationId xmlns:a16="http://schemas.microsoft.com/office/drawing/2014/main" id="{47445357-615E-4DC2-BE6A-159648FE32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0" y="0"/>
          <a:ext cx="552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6162675</xdr:colOff>
      <xdr:row>0</xdr:row>
      <xdr:rowOff>0</xdr:rowOff>
    </xdr:from>
    <xdr:to>
      <xdr:col>4</xdr:col>
      <xdr:colOff>0</xdr:colOff>
      <xdr:row>0</xdr:row>
      <xdr:rowOff>0</xdr:rowOff>
    </xdr:to>
    <xdr:pic>
      <xdr:nvPicPr>
        <xdr:cNvPr id="967904" name="Picture 7" descr="LOGO GOVERNO FINAL1">
          <a:extLst>
            <a:ext uri="{FF2B5EF4-FFF2-40B4-BE49-F238E27FC236}">
              <a16:creationId xmlns:a16="http://schemas.microsoft.com/office/drawing/2014/main" id="{D6E4AA45-C652-42B4-9B1B-6FA49733D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35" t="20328" r="85934" b="46599"/>
        <a:stretch>
          <a:fillRect/>
        </a:stretch>
      </xdr:blipFill>
      <xdr:spPr bwMode="auto">
        <a:xfrm>
          <a:off x="3724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0</xdr:rowOff>
    </xdr:from>
    <xdr:to>
      <xdr:col>0</xdr:col>
      <xdr:colOff>438150</xdr:colOff>
      <xdr:row>0</xdr:row>
      <xdr:rowOff>0</xdr:rowOff>
    </xdr:to>
    <xdr:pic>
      <xdr:nvPicPr>
        <xdr:cNvPr id="967905" name="Picture 8" descr="BRASAO">
          <a:extLst>
            <a:ext uri="{FF2B5EF4-FFF2-40B4-BE49-F238E27FC236}">
              <a16:creationId xmlns:a16="http://schemas.microsoft.com/office/drawing/2014/main" id="{2C3A408F-EEF9-407B-B06D-87A13B46E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714375</xdr:colOff>
      <xdr:row>0</xdr:row>
      <xdr:rowOff>0</xdr:rowOff>
    </xdr:from>
    <xdr:to>
      <xdr:col>8</xdr:col>
      <xdr:colOff>66675</xdr:colOff>
      <xdr:row>0</xdr:row>
      <xdr:rowOff>0</xdr:rowOff>
    </xdr:to>
    <xdr:pic>
      <xdr:nvPicPr>
        <xdr:cNvPr id="967906" name="Picture 9" descr="imagem">
          <a:extLst>
            <a:ext uri="{FF2B5EF4-FFF2-40B4-BE49-F238E27FC236}">
              <a16:creationId xmlns:a16="http://schemas.microsoft.com/office/drawing/2014/main" id="{08289BE7-AC26-4021-8CA4-5C85B0CE5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0" y="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523875</xdr:colOff>
      <xdr:row>0</xdr:row>
      <xdr:rowOff>0</xdr:rowOff>
    </xdr:from>
    <xdr:to>
      <xdr:col>9</xdr:col>
      <xdr:colOff>247650</xdr:colOff>
      <xdr:row>0</xdr:row>
      <xdr:rowOff>0</xdr:rowOff>
    </xdr:to>
    <xdr:pic>
      <xdr:nvPicPr>
        <xdr:cNvPr id="967907" name="Picture 10" descr="imagem1">
          <a:extLst>
            <a:ext uri="{FF2B5EF4-FFF2-40B4-BE49-F238E27FC236}">
              <a16:creationId xmlns:a16="http://schemas.microsoft.com/office/drawing/2014/main" id="{68E1A9F1-43F9-4BE7-B957-E82BAAFD92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10350" y="0"/>
          <a:ext cx="552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180975</xdr:colOff>
      <xdr:row>0</xdr:row>
      <xdr:rowOff>0</xdr:rowOff>
    </xdr:from>
    <xdr:to>
      <xdr:col>13</xdr:col>
      <xdr:colOff>171450</xdr:colOff>
      <xdr:row>0</xdr:row>
      <xdr:rowOff>0</xdr:rowOff>
    </xdr:to>
    <xdr:pic>
      <xdr:nvPicPr>
        <xdr:cNvPr id="967908" name="Picture 15" descr="imagem">
          <a:extLst>
            <a:ext uri="{FF2B5EF4-FFF2-40B4-BE49-F238E27FC236}">
              <a16:creationId xmlns:a16="http://schemas.microsoft.com/office/drawing/2014/main" id="{A6EB9A49-2585-4572-B6DA-9B51A01ED7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9200" y="0"/>
          <a:ext cx="819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0</xdr:row>
      <xdr:rowOff>0</xdr:rowOff>
    </xdr:from>
    <xdr:to>
      <xdr:col>14</xdr:col>
      <xdr:colOff>676275</xdr:colOff>
      <xdr:row>0</xdr:row>
      <xdr:rowOff>0</xdr:rowOff>
    </xdr:to>
    <xdr:pic>
      <xdr:nvPicPr>
        <xdr:cNvPr id="967909" name="Picture 16" descr="imagem1">
          <a:extLst>
            <a:ext uri="{FF2B5EF4-FFF2-40B4-BE49-F238E27FC236}">
              <a16:creationId xmlns:a16="http://schemas.microsoft.com/office/drawing/2014/main" id="{6CC96CE9-4C4D-41D7-B2C1-66267171E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72675"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0</xdr:row>
      <xdr:rowOff>0</xdr:rowOff>
    </xdr:from>
    <xdr:to>
      <xdr:col>0</xdr:col>
      <xdr:colOff>438150</xdr:colOff>
      <xdr:row>0</xdr:row>
      <xdr:rowOff>0</xdr:rowOff>
    </xdr:to>
    <xdr:pic>
      <xdr:nvPicPr>
        <xdr:cNvPr id="967910" name="Picture 17" descr="BRASAO">
          <a:extLst>
            <a:ext uri="{FF2B5EF4-FFF2-40B4-BE49-F238E27FC236}">
              <a16:creationId xmlns:a16="http://schemas.microsoft.com/office/drawing/2014/main" id="{23B1279B-1EC1-46EA-B894-0DE3D6946F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0"/>
          <a:ext cx="371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6162675</xdr:colOff>
      <xdr:row>0</xdr:row>
      <xdr:rowOff>0</xdr:rowOff>
    </xdr:from>
    <xdr:to>
      <xdr:col>4</xdr:col>
      <xdr:colOff>0</xdr:colOff>
      <xdr:row>0</xdr:row>
      <xdr:rowOff>0</xdr:rowOff>
    </xdr:to>
    <xdr:pic>
      <xdr:nvPicPr>
        <xdr:cNvPr id="967911" name="Picture 18" descr="LOGO GOVERNO FINAL1">
          <a:extLst>
            <a:ext uri="{FF2B5EF4-FFF2-40B4-BE49-F238E27FC236}">
              <a16:creationId xmlns:a16="http://schemas.microsoft.com/office/drawing/2014/main" id="{8983D71A-7B19-4D6D-AD47-91419E8D3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35" t="20328" r="85934" b="46599"/>
        <a:stretch>
          <a:fillRect/>
        </a:stretch>
      </xdr:blipFill>
      <xdr:spPr bwMode="auto">
        <a:xfrm>
          <a:off x="37242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0</xdr:rowOff>
    </xdr:from>
    <xdr:to>
      <xdr:col>0</xdr:col>
      <xdr:colOff>438150</xdr:colOff>
      <xdr:row>0</xdr:row>
      <xdr:rowOff>0</xdr:rowOff>
    </xdr:to>
    <xdr:pic>
      <xdr:nvPicPr>
        <xdr:cNvPr id="967912" name="Picture 19" descr="BRASAO">
          <a:extLst>
            <a:ext uri="{FF2B5EF4-FFF2-40B4-BE49-F238E27FC236}">
              <a16:creationId xmlns:a16="http://schemas.microsoft.com/office/drawing/2014/main" id="{9E7EE810-F053-486E-95C5-AFDBBF3A8C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714375</xdr:colOff>
      <xdr:row>0</xdr:row>
      <xdr:rowOff>0</xdr:rowOff>
    </xdr:from>
    <xdr:to>
      <xdr:col>8</xdr:col>
      <xdr:colOff>66675</xdr:colOff>
      <xdr:row>0</xdr:row>
      <xdr:rowOff>0</xdr:rowOff>
    </xdr:to>
    <xdr:pic>
      <xdr:nvPicPr>
        <xdr:cNvPr id="967913" name="Picture 20" descr="imagem">
          <a:extLst>
            <a:ext uri="{FF2B5EF4-FFF2-40B4-BE49-F238E27FC236}">
              <a16:creationId xmlns:a16="http://schemas.microsoft.com/office/drawing/2014/main" id="{C7F401DC-AA6E-4620-9970-E01AD91AAF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9750" y="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523875</xdr:colOff>
      <xdr:row>0</xdr:row>
      <xdr:rowOff>0</xdr:rowOff>
    </xdr:from>
    <xdr:to>
      <xdr:col>9</xdr:col>
      <xdr:colOff>247650</xdr:colOff>
      <xdr:row>0</xdr:row>
      <xdr:rowOff>0</xdr:rowOff>
    </xdr:to>
    <xdr:pic>
      <xdr:nvPicPr>
        <xdr:cNvPr id="967914" name="Picture 21" descr="imagem1">
          <a:extLst>
            <a:ext uri="{FF2B5EF4-FFF2-40B4-BE49-F238E27FC236}">
              <a16:creationId xmlns:a16="http://schemas.microsoft.com/office/drawing/2014/main" id="{6566E899-7416-4DAE-AD79-BD37683A08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10350" y="0"/>
          <a:ext cx="552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142875</xdr:colOff>
      <xdr:row>0</xdr:row>
      <xdr:rowOff>0</xdr:rowOff>
    </xdr:from>
    <xdr:to>
      <xdr:col>13</xdr:col>
      <xdr:colOff>142875</xdr:colOff>
      <xdr:row>0</xdr:row>
      <xdr:rowOff>0</xdr:rowOff>
    </xdr:to>
    <xdr:pic>
      <xdr:nvPicPr>
        <xdr:cNvPr id="967915" name="Picture 22" descr="imagem">
          <a:extLst>
            <a:ext uri="{FF2B5EF4-FFF2-40B4-BE49-F238E27FC236}">
              <a16:creationId xmlns:a16="http://schemas.microsoft.com/office/drawing/2014/main" id="{16A668AE-A2F5-4AAF-815C-EAC9BBC0D5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01100" y="0"/>
          <a:ext cx="828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47625</xdr:colOff>
      <xdr:row>0</xdr:row>
      <xdr:rowOff>0</xdr:rowOff>
    </xdr:from>
    <xdr:to>
      <xdr:col>14</xdr:col>
      <xdr:colOff>695325</xdr:colOff>
      <xdr:row>0</xdr:row>
      <xdr:rowOff>0</xdr:rowOff>
    </xdr:to>
    <xdr:pic>
      <xdr:nvPicPr>
        <xdr:cNvPr id="967916" name="Picture 23" descr="imagem1">
          <a:extLst>
            <a:ext uri="{FF2B5EF4-FFF2-40B4-BE49-F238E27FC236}">
              <a16:creationId xmlns:a16="http://schemas.microsoft.com/office/drawing/2014/main" id="{30E3C983-F4FD-4988-80C7-C794B2AF00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91725"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0</xdr:rowOff>
    </xdr:from>
    <xdr:to>
      <xdr:col>0</xdr:col>
      <xdr:colOff>438150</xdr:colOff>
      <xdr:row>0</xdr:row>
      <xdr:rowOff>0</xdr:rowOff>
    </xdr:to>
    <xdr:pic>
      <xdr:nvPicPr>
        <xdr:cNvPr id="967917" name="Picture 24" descr="BRASAO">
          <a:extLst>
            <a:ext uri="{FF2B5EF4-FFF2-40B4-BE49-F238E27FC236}">
              <a16:creationId xmlns:a16="http://schemas.microsoft.com/office/drawing/2014/main" id="{ED36262B-7EDA-435A-B120-F78FF7BAE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371475</xdr:colOff>
      <xdr:row>0</xdr:row>
      <xdr:rowOff>142875</xdr:rowOff>
    </xdr:from>
    <xdr:to>
      <xdr:col>27</xdr:col>
      <xdr:colOff>381000</xdr:colOff>
      <xdr:row>5</xdr:row>
      <xdr:rowOff>19050</xdr:rowOff>
    </xdr:to>
    <xdr:pic>
      <xdr:nvPicPr>
        <xdr:cNvPr id="967918" name="Picture 26" descr="imagem1">
          <a:extLst>
            <a:ext uri="{FF2B5EF4-FFF2-40B4-BE49-F238E27FC236}">
              <a16:creationId xmlns:a16="http://schemas.microsoft.com/office/drawing/2014/main" id="{12EEE421-6E25-4DAB-BC15-6EA85D46F6C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97550" y="142875"/>
          <a:ext cx="8286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0</xdr:row>
      <xdr:rowOff>66675</xdr:rowOff>
    </xdr:from>
    <xdr:to>
      <xdr:col>1</xdr:col>
      <xdr:colOff>1047750</xdr:colOff>
      <xdr:row>3</xdr:row>
      <xdr:rowOff>285750</xdr:rowOff>
    </xdr:to>
    <xdr:pic>
      <xdr:nvPicPr>
        <xdr:cNvPr id="967919" name="Picture 27" descr="BRASAO">
          <a:extLst>
            <a:ext uri="{FF2B5EF4-FFF2-40B4-BE49-F238E27FC236}">
              <a16:creationId xmlns:a16="http://schemas.microsoft.com/office/drawing/2014/main" id="{5288B98D-EBC2-45E8-B3AB-C4CB304A9F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 y="66675"/>
          <a:ext cx="895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257175</xdr:colOff>
      <xdr:row>0</xdr:row>
      <xdr:rowOff>66675</xdr:rowOff>
    </xdr:from>
    <xdr:to>
      <xdr:col>10</xdr:col>
      <xdr:colOff>904875</xdr:colOff>
      <xdr:row>3</xdr:row>
      <xdr:rowOff>190500</xdr:rowOff>
    </xdr:to>
    <xdr:pic>
      <xdr:nvPicPr>
        <xdr:cNvPr id="968715" name="Picture 2" descr="imagem1">
          <a:extLst>
            <a:ext uri="{FF2B5EF4-FFF2-40B4-BE49-F238E27FC236}">
              <a16:creationId xmlns:a16="http://schemas.microsoft.com/office/drawing/2014/main" id="{67921704-818B-4B20-AFE0-2E13803E0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6725" y="66675"/>
          <a:ext cx="6477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371475</xdr:colOff>
      <xdr:row>0</xdr:row>
      <xdr:rowOff>142875</xdr:rowOff>
    </xdr:from>
    <xdr:to>
      <xdr:col>27</xdr:col>
      <xdr:colOff>381000</xdr:colOff>
      <xdr:row>5</xdr:row>
      <xdr:rowOff>19050</xdr:rowOff>
    </xdr:to>
    <xdr:pic>
      <xdr:nvPicPr>
        <xdr:cNvPr id="969750" name="Picture 2" descr="imagem1">
          <a:extLst>
            <a:ext uri="{FF2B5EF4-FFF2-40B4-BE49-F238E27FC236}">
              <a16:creationId xmlns:a16="http://schemas.microsoft.com/office/drawing/2014/main" id="{7E7D0E80-75DE-4066-A796-1F3AA75340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69025" y="142875"/>
          <a:ext cx="7905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0</xdr:row>
      <xdr:rowOff>66675</xdr:rowOff>
    </xdr:from>
    <xdr:to>
      <xdr:col>1</xdr:col>
      <xdr:colOff>1047750</xdr:colOff>
      <xdr:row>3</xdr:row>
      <xdr:rowOff>285750</xdr:rowOff>
    </xdr:to>
    <xdr:pic>
      <xdr:nvPicPr>
        <xdr:cNvPr id="969751" name="Picture 3" descr="BRASAO">
          <a:extLst>
            <a:ext uri="{FF2B5EF4-FFF2-40B4-BE49-F238E27FC236}">
              <a16:creationId xmlns:a16="http://schemas.microsoft.com/office/drawing/2014/main" id="{2518C25F-691D-4338-9884-9438E5DDAA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 y="66675"/>
          <a:ext cx="895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133350</xdr:colOff>
      <xdr:row>0</xdr:row>
      <xdr:rowOff>333375</xdr:rowOff>
    </xdr:from>
    <xdr:to>
      <xdr:col>2</xdr:col>
      <xdr:colOff>419100</xdr:colOff>
      <xdr:row>0</xdr:row>
      <xdr:rowOff>1913348</xdr:rowOff>
    </xdr:to>
    <xdr:pic>
      <xdr:nvPicPr>
        <xdr:cNvPr id="2" name="Imagem 1">
          <a:extLst>
            <a:ext uri="{FF2B5EF4-FFF2-40B4-BE49-F238E27FC236}">
              <a16:creationId xmlns:a16="http://schemas.microsoft.com/office/drawing/2014/main" id="{72588C90-DFF8-46D6-A9FC-E740091C9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333375"/>
          <a:ext cx="2466975" cy="1579973"/>
        </a:xfrm>
        <a:prstGeom prst="rect">
          <a:avLst/>
        </a:prstGeom>
      </xdr:spPr>
    </xdr:pic>
    <xdr:clientData/>
  </xdr:twoCellAnchor>
  <xdr:twoCellAnchor editAs="oneCell">
    <xdr:from>
      <xdr:col>3</xdr:col>
      <xdr:colOff>475927</xdr:colOff>
      <xdr:row>0</xdr:row>
      <xdr:rowOff>266700</xdr:rowOff>
    </xdr:from>
    <xdr:to>
      <xdr:col>6</xdr:col>
      <xdr:colOff>213825</xdr:colOff>
      <xdr:row>0</xdr:row>
      <xdr:rowOff>2057400</xdr:rowOff>
    </xdr:to>
    <xdr:pic>
      <xdr:nvPicPr>
        <xdr:cNvPr id="3" name="Imagem 2">
          <a:extLst>
            <a:ext uri="{FF2B5EF4-FFF2-40B4-BE49-F238E27FC236}">
              <a16:creationId xmlns:a16="http://schemas.microsoft.com/office/drawing/2014/main" id="{C2BEF07E-AA71-43A4-95B5-4BA9D6C50E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8877" y="266700"/>
          <a:ext cx="2414423" cy="17907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408841</xdr:colOff>
      <xdr:row>54</xdr:row>
      <xdr:rowOff>134083</xdr:rowOff>
    </xdr:from>
    <xdr:ext cx="2765181" cy="461596"/>
    <mc:AlternateContent xmlns:mc="http://schemas.openxmlformats.org/markup-compatibility/2006" xmlns:a14="http://schemas.microsoft.com/office/drawing/2010/main">
      <mc:Choice Requires="a14">
        <xdr:sp macro="" textlink="">
          <xdr:nvSpPr>
            <xdr:cNvPr id="6" name="CaixaDeTexto 5">
              <a:extLst>
                <a:ext uri="{FF2B5EF4-FFF2-40B4-BE49-F238E27FC236}">
                  <a16:creationId xmlns:a16="http://schemas.microsoft.com/office/drawing/2014/main" id="{BAE9703C-79EA-4013-A160-038E4A059828}"/>
                </a:ext>
              </a:extLst>
            </xdr:cNvPr>
            <xdr:cNvSpPr txBox="1"/>
          </xdr:nvSpPr>
          <xdr:spPr>
            <a:xfrm>
              <a:off x="1513741" y="13564333"/>
              <a:ext cx="2765181" cy="461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pt-BR" sz="1600" b="1" i="1">
                          <a:latin typeface="Cambria Math" panose="02040503050406030204" pitchFamily="18" charset="0"/>
                        </a:rPr>
                      </m:ctrlPr>
                    </m:fPr>
                    <m:num>
                      <m:d>
                        <m:dPr>
                          <m:ctrlPr>
                            <a:rPr lang="pt-BR" sz="1600" b="1" i="1">
                              <a:latin typeface="Cambria Math" panose="02040503050406030204" pitchFamily="18" charset="0"/>
                            </a:rPr>
                          </m:ctrlPr>
                        </m:dPr>
                        <m:e>
                          <m:d>
                            <m:dPr>
                              <m:ctrlPr>
                                <a:rPr lang="pt-BR" sz="1600" b="1" i="1">
                                  <a:latin typeface="Cambria Math" panose="02040503050406030204" pitchFamily="18" charset="0"/>
                                </a:rPr>
                              </m:ctrlPr>
                            </m:dPr>
                            <m:e>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𝑨𝑪</m:t>
                              </m:r>
                              <m:r>
                                <a:rPr lang="pt-BR" sz="1600" b="1" i="1">
                                  <a:latin typeface="Cambria Math" panose="02040503050406030204" pitchFamily="18" charset="0"/>
                                </a:rPr>
                                <m:t>+</m:t>
                              </m:r>
                              <m:r>
                                <a:rPr lang="pt-BR" sz="1600" b="1" i="1">
                                  <a:latin typeface="Cambria Math" panose="02040503050406030204" pitchFamily="18" charset="0"/>
                                </a:rPr>
                                <m:t>𝑺</m:t>
                              </m:r>
                              <m:r>
                                <a:rPr lang="pt-BR" sz="1600" b="1" i="1">
                                  <a:latin typeface="Cambria Math" panose="02040503050406030204" pitchFamily="18" charset="0"/>
                                </a:rPr>
                                <m:t>+</m:t>
                              </m:r>
                              <m:r>
                                <a:rPr lang="pt-BR" sz="1600" b="1" i="1">
                                  <a:latin typeface="Cambria Math" panose="02040503050406030204" pitchFamily="18" charset="0"/>
                                </a:rPr>
                                <m:t>𝑹</m:t>
                              </m:r>
                              <m:r>
                                <a:rPr lang="pt-BR" sz="1600" b="1" i="1">
                                  <a:latin typeface="Cambria Math" panose="02040503050406030204" pitchFamily="18" charset="0"/>
                                </a:rPr>
                                <m:t>+</m:t>
                              </m:r>
                              <m:r>
                                <a:rPr lang="pt-BR" sz="1600" b="1" i="1">
                                  <a:latin typeface="Cambria Math" panose="02040503050406030204" pitchFamily="18" charset="0"/>
                                </a:rPr>
                                <m:t>𝑮</m:t>
                              </m:r>
                            </m:e>
                          </m:d>
                          <m:r>
                            <a:rPr lang="pt-BR" sz="1600" b="1" i="1">
                              <a:latin typeface="Cambria Math" panose="02040503050406030204" pitchFamily="18" charset="0"/>
                            </a:rPr>
                            <m:t>∗</m:t>
                          </m:r>
                          <m:d>
                            <m:dPr>
                              <m:ctrlPr>
                                <a:rPr lang="pt-BR" sz="1600" b="1" i="1">
                                  <a:latin typeface="Cambria Math" panose="02040503050406030204" pitchFamily="18" charset="0"/>
                                </a:rPr>
                              </m:ctrlPr>
                            </m:dPr>
                            <m:e>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𝑫𝑭</m:t>
                              </m:r>
                            </m:e>
                          </m:d>
                          <m:r>
                            <a:rPr lang="pt-BR" sz="1600" b="1" i="1">
                              <a:latin typeface="Cambria Math" panose="02040503050406030204" pitchFamily="18" charset="0"/>
                            </a:rPr>
                            <m:t>∗</m:t>
                          </m:r>
                          <m:d>
                            <m:dPr>
                              <m:ctrlPr>
                                <a:rPr lang="pt-BR" sz="1600" b="1" i="1">
                                  <a:latin typeface="Cambria Math" panose="02040503050406030204" pitchFamily="18" charset="0"/>
                                </a:rPr>
                              </m:ctrlPr>
                            </m:dPr>
                            <m:e>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𝑳</m:t>
                              </m:r>
                            </m:e>
                          </m:d>
                        </m:e>
                      </m:d>
                    </m:num>
                    <m:den>
                      <m:r>
                        <a:rPr lang="pt-BR" sz="1600" b="1" i="1">
                          <a:latin typeface="Cambria Math" panose="02040503050406030204" pitchFamily="18" charset="0"/>
                        </a:rPr>
                        <m:t>(</m:t>
                      </m:r>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𝑻</m:t>
                      </m:r>
                      <m:r>
                        <a:rPr lang="pt-BR" sz="1600" b="1" i="1">
                          <a:latin typeface="Cambria Math" panose="02040503050406030204" pitchFamily="18" charset="0"/>
                        </a:rPr>
                        <m:t>)</m:t>
                      </m:r>
                    </m:den>
                  </m:f>
                </m:oMath>
              </a14:m>
              <a:r>
                <a:rPr lang="pt-BR" sz="1600" b="1">
                  <a:latin typeface="+mn-lt"/>
                </a:rPr>
                <a:t> </a:t>
              </a:r>
              <a:endParaRPr lang="pt-BR" sz="1400">
                <a:latin typeface="+mn-lt"/>
              </a:endParaRPr>
            </a:p>
          </xdr:txBody>
        </xdr:sp>
      </mc:Choice>
      <mc:Fallback xmlns="">
        <xdr:sp macro="" textlink="">
          <xdr:nvSpPr>
            <xdr:cNvPr id="6" name="CaixaDeTexto 5">
              <a:extLst>
                <a:ext uri="{FF2B5EF4-FFF2-40B4-BE49-F238E27FC236}">
                  <a16:creationId xmlns:a16="http://schemas.microsoft.com/office/drawing/2014/main" id="{BAE9703C-79EA-4013-A160-038E4A059828}"/>
                </a:ext>
              </a:extLst>
            </xdr:cNvPr>
            <xdr:cNvSpPr txBox="1"/>
          </xdr:nvSpPr>
          <xdr:spPr>
            <a:xfrm>
              <a:off x="1513741" y="13564333"/>
              <a:ext cx="2765181" cy="461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b="1" i="0">
                  <a:latin typeface="Cambria Math" panose="02040503050406030204" pitchFamily="18" charset="0"/>
                </a:rPr>
                <a:t>(((𝟏+𝑨𝑪+𝑺+𝑹+𝑮)∗(𝟏+𝑫𝑭)∗(𝟏+𝑳)))/((𝟏−𝑻))</a:t>
              </a:r>
              <a:r>
                <a:rPr lang="pt-BR" sz="1600" b="1">
                  <a:latin typeface="+mn-lt"/>
                </a:rPr>
                <a:t> </a:t>
              </a:r>
              <a:endParaRPr lang="pt-BR" sz="1400">
                <a:latin typeface="+mn-lt"/>
              </a:endParaRPr>
            </a:p>
          </xdr:txBody>
        </xdr:sp>
      </mc:Fallback>
    </mc:AlternateContent>
    <xdr:clientData/>
  </xdr:oneCellAnchor>
  <xdr:oneCellAnchor>
    <xdr:from>
      <xdr:col>1</xdr:col>
      <xdr:colOff>408841</xdr:colOff>
      <xdr:row>28</xdr:row>
      <xdr:rowOff>189035</xdr:rowOff>
    </xdr:from>
    <xdr:ext cx="2765181" cy="461596"/>
    <mc:AlternateContent xmlns:mc="http://schemas.openxmlformats.org/markup-compatibility/2006" xmlns:a14="http://schemas.microsoft.com/office/drawing/2010/main">
      <mc:Choice Requires="a14">
        <xdr:sp macro="" textlink="">
          <xdr:nvSpPr>
            <xdr:cNvPr id="7" name="CaixaDeTexto 6">
              <a:extLst>
                <a:ext uri="{FF2B5EF4-FFF2-40B4-BE49-F238E27FC236}">
                  <a16:creationId xmlns:a16="http://schemas.microsoft.com/office/drawing/2014/main" id="{740AACEC-B618-4D52-A6E7-DB4CAF412336}"/>
                </a:ext>
              </a:extLst>
            </xdr:cNvPr>
            <xdr:cNvSpPr txBox="1"/>
          </xdr:nvSpPr>
          <xdr:spPr>
            <a:xfrm>
              <a:off x="1513741" y="7513760"/>
              <a:ext cx="2765181" cy="461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pt-BR" sz="1600" b="1" i="1">
                          <a:latin typeface="Cambria Math" panose="02040503050406030204" pitchFamily="18" charset="0"/>
                        </a:rPr>
                      </m:ctrlPr>
                    </m:fPr>
                    <m:num>
                      <m:d>
                        <m:dPr>
                          <m:ctrlPr>
                            <a:rPr lang="pt-BR" sz="1600" b="1" i="1">
                              <a:latin typeface="Cambria Math" panose="02040503050406030204" pitchFamily="18" charset="0"/>
                            </a:rPr>
                          </m:ctrlPr>
                        </m:dPr>
                        <m:e>
                          <m:d>
                            <m:dPr>
                              <m:ctrlPr>
                                <a:rPr lang="pt-BR" sz="1600" b="1" i="1">
                                  <a:latin typeface="Cambria Math" panose="02040503050406030204" pitchFamily="18" charset="0"/>
                                </a:rPr>
                              </m:ctrlPr>
                            </m:dPr>
                            <m:e>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𝑨𝑪</m:t>
                              </m:r>
                              <m:r>
                                <a:rPr lang="pt-BR" sz="1600" b="1" i="1">
                                  <a:latin typeface="Cambria Math" panose="02040503050406030204" pitchFamily="18" charset="0"/>
                                </a:rPr>
                                <m:t>+</m:t>
                              </m:r>
                              <m:r>
                                <a:rPr lang="pt-BR" sz="1600" b="1" i="1">
                                  <a:latin typeface="Cambria Math" panose="02040503050406030204" pitchFamily="18" charset="0"/>
                                </a:rPr>
                                <m:t>𝑺</m:t>
                              </m:r>
                              <m:r>
                                <a:rPr lang="pt-BR" sz="1600" b="1" i="1">
                                  <a:latin typeface="Cambria Math" panose="02040503050406030204" pitchFamily="18" charset="0"/>
                                </a:rPr>
                                <m:t>+</m:t>
                              </m:r>
                              <m:r>
                                <a:rPr lang="pt-BR" sz="1600" b="1" i="1">
                                  <a:latin typeface="Cambria Math" panose="02040503050406030204" pitchFamily="18" charset="0"/>
                                </a:rPr>
                                <m:t>𝑹</m:t>
                              </m:r>
                              <m:r>
                                <a:rPr lang="pt-BR" sz="1600" b="1" i="1">
                                  <a:latin typeface="Cambria Math" panose="02040503050406030204" pitchFamily="18" charset="0"/>
                                </a:rPr>
                                <m:t>+</m:t>
                              </m:r>
                              <m:r>
                                <a:rPr lang="pt-BR" sz="1600" b="1" i="1">
                                  <a:latin typeface="Cambria Math" panose="02040503050406030204" pitchFamily="18" charset="0"/>
                                </a:rPr>
                                <m:t>𝑮</m:t>
                              </m:r>
                            </m:e>
                          </m:d>
                          <m:r>
                            <a:rPr lang="pt-BR" sz="1600" b="1" i="1">
                              <a:latin typeface="Cambria Math" panose="02040503050406030204" pitchFamily="18" charset="0"/>
                            </a:rPr>
                            <m:t>∗</m:t>
                          </m:r>
                          <m:d>
                            <m:dPr>
                              <m:ctrlPr>
                                <a:rPr lang="pt-BR" sz="1600" b="1" i="1">
                                  <a:latin typeface="Cambria Math" panose="02040503050406030204" pitchFamily="18" charset="0"/>
                                </a:rPr>
                              </m:ctrlPr>
                            </m:dPr>
                            <m:e>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𝑫𝑭</m:t>
                              </m:r>
                            </m:e>
                          </m:d>
                          <m:r>
                            <a:rPr lang="pt-BR" sz="1600" b="1" i="1">
                              <a:latin typeface="Cambria Math" panose="02040503050406030204" pitchFamily="18" charset="0"/>
                            </a:rPr>
                            <m:t>∗</m:t>
                          </m:r>
                          <m:d>
                            <m:dPr>
                              <m:ctrlPr>
                                <a:rPr lang="pt-BR" sz="1600" b="1" i="1">
                                  <a:latin typeface="Cambria Math" panose="02040503050406030204" pitchFamily="18" charset="0"/>
                                </a:rPr>
                              </m:ctrlPr>
                            </m:dPr>
                            <m:e>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𝑳</m:t>
                              </m:r>
                            </m:e>
                          </m:d>
                        </m:e>
                      </m:d>
                    </m:num>
                    <m:den>
                      <m:r>
                        <a:rPr lang="pt-BR" sz="1600" b="1" i="1">
                          <a:latin typeface="Cambria Math" panose="02040503050406030204" pitchFamily="18" charset="0"/>
                        </a:rPr>
                        <m:t>(</m:t>
                      </m:r>
                      <m:r>
                        <a:rPr lang="pt-BR" sz="1600" b="1" i="1">
                          <a:latin typeface="Cambria Math" panose="02040503050406030204" pitchFamily="18" charset="0"/>
                        </a:rPr>
                        <m:t>𝟏</m:t>
                      </m:r>
                      <m:r>
                        <a:rPr lang="pt-BR" sz="1600" b="1" i="1">
                          <a:latin typeface="Cambria Math" panose="02040503050406030204" pitchFamily="18" charset="0"/>
                        </a:rPr>
                        <m:t>−</m:t>
                      </m:r>
                      <m:r>
                        <a:rPr lang="pt-BR" sz="1600" b="1" i="1">
                          <a:latin typeface="Cambria Math" panose="02040503050406030204" pitchFamily="18" charset="0"/>
                        </a:rPr>
                        <m:t>𝑻</m:t>
                      </m:r>
                      <m:r>
                        <a:rPr lang="pt-BR" sz="1600" b="1" i="1">
                          <a:latin typeface="Cambria Math" panose="02040503050406030204" pitchFamily="18" charset="0"/>
                        </a:rPr>
                        <m:t>)</m:t>
                      </m:r>
                    </m:den>
                  </m:f>
                </m:oMath>
              </a14:m>
              <a:r>
                <a:rPr lang="pt-BR" sz="1600" b="1">
                  <a:latin typeface="+mn-lt"/>
                </a:rPr>
                <a:t> </a:t>
              </a:r>
              <a:endParaRPr lang="pt-BR" sz="1400">
                <a:latin typeface="+mn-lt"/>
              </a:endParaRPr>
            </a:p>
          </xdr:txBody>
        </xdr:sp>
      </mc:Choice>
      <mc:Fallback xmlns="">
        <xdr:sp macro="" textlink="">
          <xdr:nvSpPr>
            <xdr:cNvPr id="7" name="CaixaDeTexto 6">
              <a:extLst>
                <a:ext uri="{FF2B5EF4-FFF2-40B4-BE49-F238E27FC236}">
                  <a16:creationId xmlns:a16="http://schemas.microsoft.com/office/drawing/2014/main" id="{740AACEC-B618-4D52-A6E7-DB4CAF412336}"/>
                </a:ext>
              </a:extLst>
            </xdr:cNvPr>
            <xdr:cNvSpPr txBox="1"/>
          </xdr:nvSpPr>
          <xdr:spPr>
            <a:xfrm>
              <a:off x="1513741" y="7513760"/>
              <a:ext cx="2765181" cy="461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b="1" i="0">
                  <a:latin typeface="Cambria Math" panose="02040503050406030204" pitchFamily="18" charset="0"/>
                </a:rPr>
                <a:t>(((𝟏+𝑨𝑪+𝑺+𝑹+𝑮)∗(𝟏+𝑫𝑭)∗(𝟏+𝑳)))/((𝟏−𝑻))</a:t>
              </a:r>
              <a:r>
                <a:rPr lang="pt-BR" sz="1600" b="1">
                  <a:latin typeface="+mn-lt"/>
                </a:rPr>
                <a:t> </a:t>
              </a:r>
              <a:endParaRPr lang="pt-BR" sz="1400">
                <a:latin typeface="+mn-lt"/>
              </a:endParaRPr>
            </a:p>
          </xdr:txBody>
        </xdr:sp>
      </mc:Fallback>
    </mc:AlternateContent>
    <xdr:clientData/>
  </xdr:oneCellAnchor>
  <xdr:twoCellAnchor editAs="oneCell">
    <xdr:from>
      <xdr:col>0</xdr:col>
      <xdr:colOff>123825</xdr:colOff>
      <xdr:row>0</xdr:row>
      <xdr:rowOff>133351</xdr:rowOff>
    </xdr:from>
    <xdr:to>
      <xdr:col>1</xdr:col>
      <xdr:colOff>781050</xdr:colOff>
      <xdr:row>0</xdr:row>
      <xdr:rowOff>1261903</xdr:rowOff>
    </xdr:to>
    <xdr:pic>
      <xdr:nvPicPr>
        <xdr:cNvPr id="4" name="Imagem 3">
          <a:extLst>
            <a:ext uri="{FF2B5EF4-FFF2-40B4-BE49-F238E27FC236}">
              <a16:creationId xmlns:a16="http://schemas.microsoft.com/office/drawing/2014/main" id="{0DD74C46-D6FB-4E4B-954A-FEC9A8D5C1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33351"/>
          <a:ext cx="1762125" cy="1128552"/>
        </a:xfrm>
        <a:prstGeom prst="rect">
          <a:avLst/>
        </a:prstGeom>
      </xdr:spPr>
    </xdr:pic>
    <xdr:clientData/>
  </xdr:twoCellAnchor>
  <xdr:twoCellAnchor editAs="oneCell">
    <xdr:from>
      <xdr:col>3</xdr:col>
      <xdr:colOff>57151</xdr:colOff>
      <xdr:row>0</xdr:row>
      <xdr:rowOff>76200</xdr:rowOff>
    </xdr:from>
    <xdr:to>
      <xdr:col>3</xdr:col>
      <xdr:colOff>1865827</xdr:colOff>
      <xdr:row>0</xdr:row>
      <xdr:rowOff>1314450</xdr:rowOff>
    </xdr:to>
    <xdr:pic>
      <xdr:nvPicPr>
        <xdr:cNvPr id="5" name="Imagem 4">
          <a:extLst>
            <a:ext uri="{FF2B5EF4-FFF2-40B4-BE49-F238E27FC236}">
              <a16:creationId xmlns:a16="http://schemas.microsoft.com/office/drawing/2014/main" id="{DBE68303-497D-46A6-ABB8-6DD53D7C56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43626" y="76200"/>
          <a:ext cx="1808676" cy="1238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171450</xdr:colOff>
      <xdr:row>0</xdr:row>
      <xdr:rowOff>34924</xdr:rowOff>
    </xdr:from>
    <xdr:to>
      <xdr:col>1</xdr:col>
      <xdr:colOff>965200</xdr:colOff>
      <xdr:row>0</xdr:row>
      <xdr:rowOff>1244599</xdr:rowOff>
    </xdr:to>
    <xdr:pic>
      <xdr:nvPicPr>
        <xdr:cNvPr id="6" name="Imagem 5">
          <a:extLst>
            <a:ext uri="{FF2B5EF4-FFF2-40B4-BE49-F238E27FC236}">
              <a16:creationId xmlns:a16="http://schemas.microsoft.com/office/drawing/2014/main" id="{057A28F0-69A1-4828-A71B-626A5DFAA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34924"/>
          <a:ext cx="1762125" cy="1209675"/>
        </a:xfrm>
        <a:prstGeom prst="rect">
          <a:avLst/>
        </a:prstGeom>
      </xdr:spPr>
    </xdr:pic>
    <xdr:clientData/>
  </xdr:twoCellAnchor>
  <xdr:twoCellAnchor editAs="oneCell">
    <xdr:from>
      <xdr:col>6</xdr:col>
      <xdr:colOff>3000375</xdr:colOff>
      <xdr:row>0</xdr:row>
      <xdr:rowOff>73025</xdr:rowOff>
    </xdr:from>
    <xdr:to>
      <xdr:col>9</xdr:col>
      <xdr:colOff>827148</xdr:colOff>
      <xdr:row>0</xdr:row>
      <xdr:rowOff>1311275</xdr:rowOff>
    </xdr:to>
    <xdr:pic>
      <xdr:nvPicPr>
        <xdr:cNvPr id="7" name="Imagem 6">
          <a:extLst>
            <a:ext uri="{FF2B5EF4-FFF2-40B4-BE49-F238E27FC236}">
              <a16:creationId xmlns:a16="http://schemas.microsoft.com/office/drawing/2014/main" id="{7F719B15-C744-47FD-BAD5-9F0370EED9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30466" y="73025"/>
          <a:ext cx="1809955" cy="1238250"/>
        </a:xfrm>
        <a:prstGeom prst="rect">
          <a:avLst/>
        </a:prstGeom>
      </xdr:spPr>
    </xdr:pic>
    <xdr:clientData/>
  </xdr:twoCellAnchor>
  <xdr:twoCellAnchor editAs="oneCell">
    <xdr:from>
      <xdr:col>1</xdr:col>
      <xdr:colOff>1016453</xdr:colOff>
      <xdr:row>5</xdr:row>
      <xdr:rowOff>31750</xdr:rowOff>
    </xdr:from>
    <xdr:to>
      <xdr:col>6</xdr:col>
      <xdr:colOff>3135085</xdr:colOff>
      <xdr:row>45</xdr:row>
      <xdr:rowOff>114300</xdr:rowOff>
    </xdr:to>
    <xdr:pic>
      <xdr:nvPicPr>
        <xdr:cNvPr id="8" name="Imagem 7">
          <a:extLst>
            <a:ext uri="{FF2B5EF4-FFF2-40B4-BE49-F238E27FC236}">
              <a16:creationId xmlns:a16="http://schemas.microsoft.com/office/drawing/2014/main" id="{3370F066-505D-4941-B0D9-786884A88A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4828" y="2619375"/>
          <a:ext cx="6389007" cy="643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966107</xdr:colOff>
      <xdr:row>46</xdr:row>
      <xdr:rowOff>54428</xdr:rowOff>
    </xdr:from>
    <xdr:to>
      <xdr:col>6</xdr:col>
      <xdr:colOff>2744561</xdr:colOff>
      <xdr:row>97</xdr:row>
      <xdr:rowOff>149679</xdr:rowOff>
    </xdr:to>
    <xdr:pic>
      <xdr:nvPicPr>
        <xdr:cNvPr id="9" name="Imagem 8">
          <a:extLst>
            <a:ext uri="{FF2B5EF4-FFF2-40B4-BE49-F238E27FC236}">
              <a16:creationId xmlns:a16="http://schemas.microsoft.com/office/drawing/2014/main" id="{2C381E85-044E-42FC-850D-5DCF0A2DD8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32214" y="9348107"/>
          <a:ext cx="6064704" cy="842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63500</xdr:colOff>
      <xdr:row>0</xdr:row>
      <xdr:rowOff>76200</xdr:rowOff>
    </xdr:from>
    <xdr:to>
      <xdr:col>1</xdr:col>
      <xdr:colOff>581905</xdr:colOff>
      <xdr:row>0</xdr:row>
      <xdr:rowOff>1095375</xdr:rowOff>
    </xdr:to>
    <xdr:pic>
      <xdr:nvPicPr>
        <xdr:cNvPr id="4" name="Imagem 3">
          <a:extLst>
            <a:ext uri="{FF2B5EF4-FFF2-40B4-BE49-F238E27FC236}">
              <a16:creationId xmlns:a16="http://schemas.microsoft.com/office/drawing/2014/main" id="{9DFC9ECB-69D5-47BB-A7B7-215F718626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76200"/>
          <a:ext cx="1489955" cy="1019175"/>
        </a:xfrm>
        <a:prstGeom prst="rect">
          <a:avLst/>
        </a:prstGeom>
      </xdr:spPr>
    </xdr:pic>
    <xdr:clientData/>
  </xdr:twoCellAnchor>
  <xdr:twoCellAnchor editAs="oneCell">
    <xdr:from>
      <xdr:col>8</xdr:col>
      <xdr:colOff>57150</xdr:colOff>
      <xdr:row>0</xdr:row>
      <xdr:rowOff>57150</xdr:rowOff>
    </xdr:from>
    <xdr:to>
      <xdr:col>9</xdr:col>
      <xdr:colOff>886030</xdr:colOff>
      <xdr:row>0</xdr:row>
      <xdr:rowOff>1099909</xdr:rowOff>
    </xdr:to>
    <xdr:pic>
      <xdr:nvPicPr>
        <xdr:cNvPr id="5" name="Imagem 4">
          <a:extLst>
            <a:ext uri="{FF2B5EF4-FFF2-40B4-BE49-F238E27FC236}">
              <a16:creationId xmlns:a16="http://schemas.microsoft.com/office/drawing/2014/main" id="{390BA38F-CF19-4004-A778-9F0A91AAEC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57150"/>
          <a:ext cx="1524205" cy="104275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73025</xdr:colOff>
      <xdr:row>0</xdr:row>
      <xdr:rowOff>57150</xdr:rowOff>
    </xdr:from>
    <xdr:to>
      <xdr:col>1</xdr:col>
      <xdr:colOff>591430</xdr:colOff>
      <xdr:row>0</xdr:row>
      <xdr:rowOff>1390650</xdr:rowOff>
    </xdr:to>
    <xdr:pic>
      <xdr:nvPicPr>
        <xdr:cNvPr id="2" name="Imagem 1">
          <a:extLst>
            <a:ext uri="{FF2B5EF4-FFF2-40B4-BE49-F238E27FC236}">
              <a16:creationId xmlns:a16="http://schemas.microsoft.com/office/drawing/2014/main" id="{146D46F7-32AC-47C5-AB00-0EDF51C95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 y="57150"/>
          <a:ext cx="1489955" cy="1333500"/>
        </a:xfrm>
        <a:prstGeom prst="rect">
          <a:avLst/>
        </a:prstGeom>
      </xdr:spPr>
    </xdr:pic>
    <xdr:clientData/>
  </xdr:twoCellAnchor>
  <xdr:twoCellAnchor editAs="oneCell">
    <xdr:from>
      <xdr:col>7</xdr:col>
      <xdr:colOff>295275</xdr:colOff>
      <xdr:row>0</xdr:row>
      <xdr:rowOff>57150</xdr:rowOff>
    </xdr:from>
    <xdr:to>
      <xdr:col>9</xdr:col>
      <xdr:colOff>676480</xdr:colOff>
      <xdr:row>0</xdr:row>
      <xdr:rowOff>1414234</xdr:rowOff>
    </xdr:to>
    <xdr:pic>
      <xdr:nvPicPr>
        <xdr:cNvPr id="3" name="Imagem 2">
          <a:extLst>
            <a:ext uri="{FF2B5EF4-FFF2-40B4-BE49-F238E27FC236}">
              <a16:creationId xmlns:a16="http://schemas.microsoft.com/office/drawing/2014/main" id="{B814388B-6720-4C72-84C3-6742FFC365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57150"/>
          <a:ext cx="1524205" cy="1357084"/>
        </a:xfrm>
        <a:prstGeom prst="rect">
          <a:avLst/>
        </a:prstGeom>
      </xdr:spPr>
    </xdr:pic>
    <xdr:clientData/>
  </xdr:twoCellAnchor>
  <xdr:twoCellAnchor editAs="oneCell">
    <xdr:from>
      <xdr:col>0</xdr:col>
      <xdr:colOff>214312</xdr:colOff>
      <xdr:row>7</xdr:row>
      <xdr:rowOff>126999</xdr:rowOff>
    </xdr:from>
    <xdr:to>
      <xdr:col>9</xdr:col>
      <xdr:colOff>333374</xdr:colOff>
      <xdr:row>68</xdr:row>
      <xdr:rowOff>152400</xdr:rowOff>
    </xdr:to>
    <xdr:pic>
      <xdr:nvPicPr>
        <xdr:cNvPr id="5" name="Imagem 4">
          <a:extLst>
            <a:ext uri="{FF2B5EF4-FFF2-40B4-BE49-F238E27FC236}">
              <a16:creationId xmlns:a16="http://schemas.microsoft.com/office/drawing/2014/main" id="{13183AC5-A7F6-486D-B0B2-C6DD5257CA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312" y="3238499"/>
          <a:ext cx="8691562" cy="9709151"/>
        </a:xfrm>
        <a:prstGeom prst="rect">
          <a:avLst/>
        </a:prstGeom>
      </xdr:spPr>
    </xdr:pic>
    <xdr:clientData/>
  </xdr:twoCellAnchor>
  <xdr:twoCellAnchor editAs="oneCell">
    <xdr:from>
      <xdr:col>0</xdr:col>
      <xdr:colOff>95250</xdr:colOff>
      <xdr:row>37</xdr:row>
      <xdr:rowOff>106297</xdr:rowOff>
    </xdr:from>
    <xdr:to>
      <xdr:col>9</xdr:col>
      <xdr:colOff>404811</xdr:colOff>
      <xdr:row>99</xdr:row>
      <xdr:rowOff>125347</xdr:rowOff>
    </xdr:to>
    <xdr:pic>
      <xdr:nvPicPr>
        <xdr:cNvPr id="7" name="Imagem 6">
          <a:extLst>
            <a:ext uri="{FF2B5EF4-FFF2-40B4-BE49-F238E27FC236}">
              <a16:creationId xmlns:a16="http://schemas.microsoft.com/office/drawing/2014/main" id="{D63F0349-534A-4158-A612-38B5DE743E5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0" y="7988235"/>
          <a:ext cx="8953499" cy="10353675"/>
        </a:xfrm>
        <a:prstGeom prst="rect">
          <a:avLst/>
        </a:prstGeom>
      </xdr:spPr>
    </xdr:pic>
    <xdr:clientData/>
  </xdr:twoCellAnchor>
  <xdr:twoCellAnchor editAs="oneCell">
    <xdr:from>
      <xdr:col>0</xdr:col>
      <xdr:colOff>916883</xdr:colOff>
      <xdr:row>63</xdr:row>
      <xdr:rowOff>19852</xdr:rowOff>
    </xdr:from>
    <xdr:to>
      <xdr:col>7</xdr:col>
      <xdr:colOff>568940</xdr:colOff>
      <xdr:row>125</xdr:row>
      <xdr:rowOff>38902</xdr:rowOff>
    </xdr:to>
    <xdr:pic>
      <xdr:nvPicPr>
        <xdr:cNvPr id="9" name="Imagem 8">
          <a:extLst>
            <a:ext uri="{FF2B5EF4-FFF2-40B4-BE49-F238E27FC236}">
              <a16:creationId xmlns:a16="http://schemas.microsoft.com/office/drawing/2014/main" id="{9C26B662-98E3-4756-951E-FB7FA12058B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16883" y="11696381"/>
          <a:ext cx="7092763" cy="9745756"/>
        </a:xfrm>
        <a:prstGeom prst="rect">
          <a:avLst/>
        </a:prstGeom>
      </xdr:spPr>
    </xdr:pic>
    <xdr:clientData/>
  </xdr:twoCellAnchor>
  <xdr:twoCellAnchor editAs="oneCell">
    <xdr:from>
      <xdr:col>0</xdr:col>
      <xdr:colOff>95250</xdr:colOff>
      <xdr:row>509</xdr:row>
      <xdr:rowOff>142873</xdr:rowOff>
    </xdr:from>
    <xdr:to>
      <xdr:col>9</xdr:col>
      <xdr:colOff>547687</xdr:colOff>
      <xdr:row>574</xdr:row>
      <xdr:rowOff>3919</xdr:rowOff>
    </xdr:to>
    <xdr:pic>
      <xdr:nvPicPr>
        <xdr:cNvPr id="11" name="Imagem 10">
          <a:extLst>
            <a:ext uri="{FF2B5EF4-FFF2-40B4-BE49-F238E27FC236}">
              <a16:creationId xmlns:a16="http://schemas.microsoft.com/office/drawing/2014/main" id="{18DA1EDA-1730-4DA8-BE62-1405A819F5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250" y="86701311"/>
          <a:ext cx="9096375" cy="10685929"/>
        </a:xfrm>
        <a:prstGeom prst="rect">
          <a:avLst/>
        </a:prstGeom>
      </xdr:spPr>
    </xdr:pic>
    <xdr:clientData/>
  </xdr:twoCellAnchor>
  <xdr:twoCellAnchor editAs="oneCell">
    <xdr:from>
      <xdr:col>0</xdr:col>
      <xdr:colOff>190500</xdr:colOff>
      <xdr:row>541</xdr:row>
      <xdr:rowOff>30937</xdr:rowOff>
    </xdr:from>
    <xdr:to>
      <xdr:col>9</xdr:col>
      <xdr:colOff>714374</xdr:colOff>
      <xdr:row>605</xdr:row>
      <xdr:rowOff>58672</xdr:rowOff>
    </xdr:to>
    <xdr:pic>
      <xdr:nvPicPr>
        <xdr:cNvPr id="13" name="Imagem 12">
          <a:extLst>
            <a:ext uri="{FF2B5EF4-FFF2-40B4-BE49-F238E27FC236}">
              <a16:creationId xmlns:a16="http://schemas.microsoft.com/office/drawing/2014/main" id="{8CB21113-08C0-499B-A122-704C48FCF8B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500" y="91923375"/>
          <a:ext cx="9167812" cy="10695735"/>
        </a:xfrm>
        <a:prstGeom prst="rect">
          <a:avLst/>
        </a:prstGeom>
      </xdr:spPr>
    </xdr:pic>
    <xdr:clientData/>
  </xdr:twoCellAnchor>
  <xdr:twoCellAnchor editAs="oneCell">
    <xdr:from>
      <xdr:col>0</xdr:col>
      <xdr:colOff>95250</xdr:colOff>
      <xdr:row>447</xdr:row>
      <xdr:rowOff>64796</xdr:rowOff>
    </xdr:from>
    <xdr:to>
      <xdr:col>9</xdr:col>
      <xdr:colOff>642937</xdr:colOff>
      <xdr:row>511</xdr:row>
      <xdr:rowOff>82725</xdr:rowOff>
    </xdr:to>
    <xdr:pic>
      <xdr:nvPicPr>
        <xdr:cNvPr id="17" name="Imagem 16">
          <a:extLst>
            <a:ext uri="{FF2B5EF4-FFF2-40B4-BE49-F238E27FC236}">
              <a16:creationId xmlns:a16="http://schemas.microsoft.com/office/drawing/2014/main" id="{CDC15D70-2CE6-41FF-8695-2B924BB7CF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0" y="76288609"/>
          <a:ext cx="9191625" cy="10685929"/>
        </a:xfrm>
        <a:prstGeom prst="rect">
          <a:avLst/>
        </a:prstGeom>
      </xdr:spPr>
    </xdr:pic>
    <xdr:clientData/>
  </xdr:twoCellAnchor>
  <xdr:twoCellAnchor editAs="oneCell">
    <xdr:from>
      <xdr:col>0</xdr:col>
      <xdr:colOff>95250</xdr:colOff>
      <xdr:row>382</xdr:row>
      <xdr:rowOff>129354</xdr:rowOff>
    </xdr:from>
    <xdr:to>
      <xdr:col>9</xdr:col>
      <xdr:colOff>595312</xdr:colOff>
      <xdr:row>446</xdr:row>
      <xdr:rowOff>147283</xdr:rowOff>
    </xdr:to>
    <xdr:pic>
      <xdr:nvPicPr>
        <xdr:cNvPr id="19" name="Imagem 18">
          <a:extLst>
            <a:ext uri="{FF2B5EF4-FFF2-40B4-BE49-F238E27FC236}">
              <a16:creationId xmlns:a16="http://schemas.microsoft.com/office/drawing/2014/main" id="{3FBBC926-39F8-4C04-9FF5-B9A073AAA3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0" y="65518479"/>
          <a:ext cx="9144000" cy="10685929"/>
        </a:xfrm>
        <a:prstGeom prst="rect">
          <a:avLst/>
        </a:prstGeom>
      </xdr:spPr>
    </xdr:pic>
    <xdr:clientData/>
  </xdr:twoCellAnchor>
  <xdr:twoCellAnchor editAs="oneCell">
    <xdr:from>
      <xdr:col>0</xdr:col>
      <xdr:colOff>95251</xdr:colOff>
      <xdr:row>290</xdr:row>
      <xdr:rowOff>27220</xdr:rowOff>
    </xdr:from>
    <xdr:to>
      <xdr:col>9</xdr:col>
      <xdr:colOff>666749</xdr:colOff>
      <xdr:row>354</xdr:row>
      <xdr:rowOff>45150</xdr:rowOff>
    </xdr:to>
    <xdr:pic>
      <xdr:nvPicPr>
        <xdr:cNvPr id="21" name="Imagem 20">
          <a:extLst>
            <a:ext uri="{FF2B5EF4-FFF2-40B4-BE49-F238E27FC236}">
              <a16:creationId xmlns:a16="http://schemas.microsoft.com/office/drawing/2014/main" id="{CD30195F-F571-4A01-BB0A-155874A718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1" y="50081095"/>
          <a:ext cx="9215436" cy="10685930"/>
        </a:xfrm>
        <a:prstGeom prst="rect">
          <a:avLst/>
        </a:prstGeom>
      </xdr:spPr>
    </xdr:pic>
    <xdr:clientData/>
  </xdr:twoCellAnchor>
  <xdr:twoCellAnchor editAs="oneCell">
    <xdr:from>
      <xdr:col>0</xdr:col>
      <xdr:colOff>309563</xdr:colOff>
      <xdr:row>597</xdr:row>
      <xdr:rowOff>163212</xdr:rowOff>
    </xdr:from>
    <xdr:to>
      <xdr:col>9</xdr:col>
      <xdr:colOff>642937</xdr:colOff>
      <xdr:row>662</xdr:row>
      <xdr:rowOff>14453</xdr:rowOff>
    </xdr:to>
    <xdr:pic>
      <xdr:nvPicPr>
        <xdr:cNvPr id="23" name="Imagem 22">
          <a:extLst>
            <a:ext uri="{FF2B5EF4-FFF2-40B4-BE49-F238E27FC236}">
              <a16:creationId xmlns:a16="http://schemas.microsoft.com/office/drawing/2014/main" id="{236C0DD6-A124-42AB-B6A0-32E339CD28B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9563" y="101390150"/>
          <a:ext cx="8977312" cy="10685929"/>
        </a:xfrm>
        <a:prstGeom prst="rect">
          <a:avLst/>
        </a:prstGeom>
      </xdr:spPr>
    </xdr:pic>
    <xdr:clientData/>
  </xdr:twoCellAnchor>
  <xdr:twoCellAnchor editAs="oneCell">
    <xdr:from>
      <xdr:col>0</xdr:col>
      <xdr:colOff>119062</xdr:colOff>
      <xdr:row>317</xdr:row>
      <xdr:rowOff>146526</xdr:rowOff>
    </xdr:from>
    <xdr:to>
      <xdr:col>9</xdr:col>
      <xdr:colOff>714374</xdr:colOff>
      <xdr:row>382</xdr:row>
      <xdr:rowOff>135862</xdr:rowOff>
    </xdr:to>
    <xdr:pic>
      <xdr:nvPicPr>
        <xdr:cNvPr id="25" name="Imagem 24">
          <a:extLst>
            <a:ext uri="{FF2B5EF4-FFF2-40B4-BE49-F238E27FC236}">
              <a16:creationId xmlns:a16="http://schemas.microsoft.com/office/drawing/2014/main" id="{227DE041-5E58-4BE6-8A1C-9695837A89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062" y="54700964"/>
          <a:ext cx="9239250" cy="10824023"/>
        </a:xfrm>
        <a:prstGeom prst="rect">
          <a:avLst/>
        </a:prstGeom>
      </xdr:spPr>
    </xdr:pic>
    <xdr:clientData/>
  </xdr:twoCellAnchor>
  <xdr:twoCellAnchor editAs="oneCell">
    <xdr:from>
      <xdr:col>0</xdr:col>
      <xdr:colOff>95250</xdr:colOff>
      <xdr:row>225</xdr:row>
      <xdr:rowOff>45794</xdr:rowOff>
    </xdr:from>
    <xdr:to>
      <xdr:col>9</xdr:col>
      <xdr:colOff>690561</xdr:colOff>
      <xdr:row>289</xdr:row>
      <xdr:rowOff>63724</xdr:rowOff>
    </xdr:to>
    <xdr:pic>
      <xdr:nvPicPr>
        <xdr:cNvPr id="27" name="Imagem 26">
          <a:extLst>
            <a:ext uri="{FF2B5EF4-FFF2-40B4-BE49-F238E27FC236}">
              <a16:creationId xmlns:a16="http://schemas.microsoft.com/office/drawing/2014/main" id="{3CDC6D87-0E4D-4125-BB9E-7B42AD4F9D7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250" y="39264982"/>
          <a:ext cx="9239249" cy="10685930"/>
        </a:xfrm>
        <a:prstGeom prst="rect">
          <a:avLst/>
        </a:prstGeom>
      </xdr:spPr>
    </xdr:pic>
    <xdr:clientData/>
  </xdr:twoCellAnchor>
  <xdr:twoCellAnchor editAs="oneCell">
    <xdr:from>
      <xdr:col>0</xdr:col>
      <xdr:colOff>71437</xdr:colOff>
      <xdr:row>161</xdr:row>
      <xdr:rowOff>83733</xdr:rowOff>
    </xdr:from>
    <xdr:to>
      <xdr:col>9</xdr:col>
      <xdr:colOff>571499</xdr:colOff>
      <xdr:row>225</xdr:row>
      <xdr:rowOff>101661</xdr:rowOff>
    </xdr:to>
    <xdr:pic>
      <xdr:nvPicPr>
        <xdr:cNvPr id="29" name="Imagem 28">
          <a:extLst>
            <a:ext uri="{FF2B5EF4-FFF2-40B4-BE49-F238E27FC236}">
              <a16:creationId xmlns:a16="http://schemas.microsoft.com/office/drawing/2014/main" id="{02D403E5-1ED2-4790-AB04-9F5C7E2D940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437" y="28634921"/>
          <a:ext cx="9144000" cy="10685929"/>
        </a:xfrm>
        <a:prstGeom prst="rect">
          <a:avLst/>
        </a:prstGeom>
      </xdr:spPr>
    </xdr:pic>
    <xdr:clientData/>
  </xdr:twoCellAnchor>
  <xdr:twoCellAnchor editAs="oneCell">
    <xdr:from>
      <xdr:col>0</xdr:col>
      <xdr:colOff>23813</xdr:colOff>
      <xdr:row>97</xdr:row>
      <xdr:rowOff>9618</xdr:rowOff>
    </xdr:from>
    <xdr:to>
      <xdr:col>9</xdr:col>
      <xdr:colOff>452437</xdr:colOff>
      <xdr:row>161</xdr:row>
      <xdr:rowOff>27547</xdr:rowOff>
    </xdr:to>
    <xdr:pic>
      <xdr:nvPicPr>
        <xdr:cNvPr id="31" name="Imagem 30">
          <a:extLst>
            <a:ext uri="{FF2B5EF4-FFF2-40B4-BE49-F238E27FC236}">
              <a16:creationId xmlns:a16="http://schemas.microsoft.com/office/drawing/2014/main" id="{F80A1692-264A-449C-9BA6-C1F80463A19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813" y="17892806"/>
          <a:ext cx="9072562" cy="106859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1362" name="Picture 1">
          <a:extLst>
            <a:ext uri="{FF2B5EF4-FFF2-40B4-BE49-F238E27FC236}">
              <a16:creationId xmlns:a16="http://schemas.microsoft.com/office/drawing/2014/main" id="{9282F3A7-1838-4A69-95A4-32AB11FB9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1363" name="Picture 2" descr="BRASAO">
          <a:extLst>
            <a:ext uri="{FF2B5EF4-FFF2-40B4-BE49-F238E27FC236}">
              <a16:creationId xmlns:a16="http://schemas.microsoft.com/office/drawing/2014/main" id="{8D2B28D4-1499-42F4-A436-59ED91CC70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1364" name="Picture 4" descr="imagem1">
          <a:extLst>
            <a:ext uri="{FF2B5EF4-FFF2-40B4-BE49-F238E27FC236}">
              <a16:creationId xmlns:a16="http://schemas.microsoft.com/office/drawing/2014/main" id="{5F85F905-5DED-42E3-B549-CFFF716C04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1365" name="Picture 5">
          <a:extLst>
            <a:ext uri="{FF2B5EF4-FFF2-40B4-BE49-F238E27FC236}">
              <a16:creationId xmlns:a16="http://schemas.microsoft.com/office/drawing/2014/main" id="{531EFBC7-CCEC-4AED-906C-8BF143A7F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1366" name="Picture 6">
          <a:extLst>
            <a:ext uri="{FF2B5EF4-FFF2-40B4-BE49-F238E27FC236}">
              <a16:creationId xmlns:a16="http://schemas.microsoft.com/office/drawing/2014/main" id="{A250F0F3-75F1-47F1-B8D0-FAA41A175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1367" name="Picture 7">
          <a:extLst>
            <a:ext uri="{FF2B5EF4-FFF2-40B4-BE49-F238E27FC236}">
              <a16:creationId xmlns:a16="http://schemas.microsoft.com/office/drawing/2014/main" id="{B9418021-A593-4A22-B807-D133905D3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2386" name="Picture 1">
          <a:extLst>
            <a:ext uri="{FF2B5EF4-FFF2-40B4-BE49-F238E27FC236}">
              <a16:creationId xmlns:a16="http://schemas.microsoft.com/office/drawing/2014/main" id="{C56F0F5B-955D-4A6B-BC7D-F0DCD3ACF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2387" name="Picture 2" descr="BRASAO">
          <a:extLst>
            <a:ext uri="{FF2B5EF4-FFF2-40B4-BE49-F238E27FC236}">
              <a16:creationId xmlns:a16="http://schemas.microsoft.com/office/drawing/2014/main" id="{B0267D79-A318-4909-8692-369F9FE25D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2388" name="Picture 4" descr="imagem1">
          <a:extLst>
            <a:ext uri="{FF2B5EF4-FFF2-40B4-BE49-F238E27FC236}">
              <a16:creationId xmlns:a16="http://schemas.microsoft.com/office/drawing/2014/main" id="{FD9B92B2-4340-4019-A65E-9C7CC63B5D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2389" name="Picture 5">
          <a:extLst>
            <a:ext uri="{FF2B5EF4-FFF2-40B4-BE49-F238E27FC236}">
              <a16:creationId xmlns:a16="http://schemas.microsoft.com/office/drawing/2014/main" id="{1D72E8BF-A093-45FA-B43D-B10DC8DCB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2390" name="Picture 6">
          <a:extLst>
            <a:ext uri="{FF2B5EF4-FFF2-40B4-BE49-F238E27FC236}">
              <a16:creationId xmlns:a16="http://schemas.microsoft.com/office/drawing/2014/main" id="{A4527983-B36E-4186-AE33-BE4EF1835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2391" name="Picture 7">
          <a:extLst>
            <a:ext uri="{FF2B5EF4-FFF2-40B4-BE49-F238E27FC236}">
              <a16:creationId xmlns:a16="http://schemas.microsoft.com/office/drawing/2014/main" id="{A782919D-4D26-4D4F-88EA-E43C41E81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3410" name="Picture 1">
          <a:extLst>
            <a:ext uri="{FF2B5EF4-FFF2-40B4-BE49-F238E27FC236}">
              <a16:creationId xmlns:a16="http://schemas.microsoft.com/office/drawing/2014/main" id="{4E7B4884-A11E-42EF-A7CE-58F512925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3411" name="Picture 2" descr="BRASAO">
          <a:extLst>
            <a:ext uri="{FF2B5EF4-FFF2-40B4-BE49-F238E27FC236}">
              <a16:creationId xmlns:a16="http://schemas.microsoft.com/office/drawing/2014/main" id="{07A86782-0C2F-4CFD-B203-0DC6A1E759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3412" name="Picture 4" descr="imagem1">
          <a:extLst>
            <a:ext uri="{FF2B5EF4-FFF2-40B4-BE49-F238E27FC236}">
              <a16:creationId xmlns:a16="http://schemas.microsoft.com/office/drawing/2014/main" id="{C5FFEB57-E4EF-417F-8ADE-A99A4D164C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3413" name="Picture 5">
          <a:extLst>
            <a:ext uri="{FF2B5EF4-FFF2-40B4-BE49-F238E27FC236}">
              <a16:creationId xmlns:a16="http://schemas.microsoft.com/office/drawing/2014/main" id="{572CC795-A46E-4A97-80E7-B1CE994DF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3414" name="Picture 6">
          <a:extLst>
            <a:ext uri="{FF2B5EF4-FFF2-40B4-BE49-F238E27FC236}">
              <a16:creationId xmlns:a16="http://schemas.microsoft.com/office/drawing/2014/main" id="{5D93E9C5-A041-42EA-BA71-ABBEAE660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3415" name="Picture 7">
          <a:extLst>
            <a:ext uri="{FF2B5EF4-FFF2-40B4-BE49-F238E27FC236}">
              <a16:creationId xmlns:a16="http://schemas.microsoft.com/office/drawing/2014/main" id="{A9B134AA-C008-4BFB-91C5-E5B27ABE5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4434" name="Picture 1">
          <a:extLst>
            <a:ext uri="{FF2B5EF4-FFF2-40B4-BE49-F238E27FC236}">
              <a16:creationId xmlns:a16="http://schemas.microsoft.com/office/drawing/2014/main" id="{45D665AD-698E-4C48-A201-9E03F5869D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4435" name="Picture 2" descr="BRASAO">
          <a:extLst>
            <a:ext uri="{FF2B5EF4-FFF2-40B4-BE49-F238E27FC236}">
              <a16:creationId xmlns:a16="http://schemas.microsoft.com/office/drawing/2014/main" id="{F9D1966C-89AC-4425-9CB8-F740320B1C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4436" name="Picture 4" descr="imagem1">
          <a:extLst>
            <a:ext uri="{FF2B5EF4-FFF2-40B4-BE49-F238E27FC236}">
              <a16:creationId xmlns:a16="http://schemas.microsoft.com/office/drawing/2014/main" id="{711697BD-AE97-4C40-B662-011E5CF360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4437" name="Picture 5">
          <a:extLst>
            <a:ext uri="{FF2B5EF4-FFF2-40B4-BE49-F238E27FC236}">
              <a16:creationId xmlns:a16="http://schemas.microsoft.com/office/drawing/2014/main" id="{2A1DC053-BC7D-410D-86BC-70C6D93EA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4438" name="Picture 6">
          <a:extLst>
            <a:ext uri="{FF2B5EF4-FFF2-40B4-BE49-F238E27FC236}">
              <a16:creationId xmlns:a16="http://schemas.microsoft.com/office/drawing/2014/main" id="{CEFBBE3C-1095-4916-8E23-3B295FE67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4439" name="Picture 7">
          <a:extLst>
            <a:ext uri="{FF2B5EF4-FFF2-40B4-BE49-F238E27FC236}">
              <a16:creationId xmlns:a16="http://schemas.microsoft.com/office/drawing/2014/main" id="{1D16CA4C-2A9B-4B1E-8B13-DF818F62E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5458" name="Picture 1">
          <a:extLst>
            <a:ext uri="{FF2B5EF4-FFF2-40B4-BE49-F238E27FC236}">
              <a16:creationId xmlns:a16="http://schemas.microsoft.com/office/drawing/2014/main" id="{10299957-5B50-431D-9633-13E6DC191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5459" name="Picture 2" descr="BRASAO">
          <a:extLst>
            <a:ext uri="{FF2B5EF4-FFF2-40B4-BE49-F238E27FC236}">
              <a16:creationId xmlns:a16="http://schemas.microsoft.com/office/drawing/2014/main" id="{E41C6640-ECF6-4F01-A962-6A9D9D2785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5460" name="Picture 4" descr="imagem1">
          <a:extLst>
            <a:ext uri="{FF2B5EF4-FFF2-40B4-BE49-F238E27FC236}">
              <a16:creationId xmlns:a16="http://schemas.microsoft.com/office/drawing/2014/main" id="{7AC7A27B-9169-4024-A61F-136C937F95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5461" name="Picture 5">
          <a:extLst>
            <a:ext uri="{FF2B5EF4-FFF2-40B4-BE49-F238E27FC236}">
              <a16:creationId xmlns:a16="http://schemas.microsoft.com/office/drawing/2014/main" id="{500CEFEF-D50E-44DA-87B7-9BCF77328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5462" name="Picture 6">
          <a:extLst>
            <a:ext uri="{FF2B5EF4-FFF2-40B4-BE49-F238E27FC236}">
              <a16:creationId xmlns:a16="http://schemas.microsoft.com/office/drawing/2014/main" id="{1EC59B3D-5FE9-44B0-BDF5-27AC8E5A5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5463" name="Picture 7">
          <a:extLst>
            <a:ext uri="{FF2B5EF4-FFF2-40B4-BE49-F238E27FC236}">
              <a16:creationId xmlns:a16="http://schemas.microsoft.com/office/drawing/2014/main" id="{CAD08852-D4E1-48CC-B435-3FA883D24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6482" name="Picture 1">
          <a:extLst>
            <a:ext uri="{FF2B5EF4-FFF2-40B4-BE49-F238E27FC236}">
              <a16:creationId xmlns:a16="http://schemas.microsoft.com/office/drawing/2014/main" id="{459F65AD-AC15-4666-ACB9-96C639AEC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6483" name="Picture 2" descr="BRASAO">
          <a:extLst>
            <a:ext uri="{FF2B5EF4-FFF2-40B4-BE49-F238E27FC236}">
              <a16:creationId xmlns:a16="http://schemas.microsoft.com/office/drawing/2014/main" id="{EFE8A8BC-2091-416E-A213-07FF691AFE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6484" name="Picture 4" descr="imagem1">
          <a:extLst>
            <a:ext uri="{FF2B5EF4-FFF2-40B4-BE49-F238E27FC236}">
              <a16:creationId xmlns:a16="http://schemas.microsoft.com/office/drawing/2014/main" id="{266EA0B2-1632-4229-BD00-98C03CB87C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6485" name="Picture 5">
          <a:extLst>
            <a:ext uri="{FF2B5EF4-FFF2-40B4-BE49-F238E27FC236}">
              <a16:creationId xmlns:a16="http://schemas.microsoft.com/office/drawing/2014/main" id="{30ACEAA6-0010-4A34-A341-91560961A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6486" name="Picture 6">
          <a:extLst>
            <a:ext uri="{FF2B5EF4-FFF2-40B4-BE49-F238E27FC236}">
              <a16:creationId xmlns:a16="http://schemas.microsoft.com/office/drawing/2014/main" id="{62B1513D-8C27-4D8B-B7FB-82B813D89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6487" name="Picture 7">
          <a:extLst>
            <a:ext uri="{FF2B5EF4-FFF2-40B4-BE49-F238E27FC236}">
              <a16:creationId xmlns:a16="http://schemas.microsoft.com/office/drawing/2014/main" id="{14E2013B-E471-4B4E-9709-4A03A537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523875</xdr:colOff>
      <xdr:row>17</xdr:row>
      <xdr:rowOff>0</xdr:rowOff>
    </xdr:from>
    <xdr:to>
      <xdr:col>8</xdr:col>
      <xdr:colOff>0</xdr:colOff>
      <xdr:row>17</xdr:row>
      <xdr:rowOff>0</xdr:rowOff>
    </xdr:to>
    <xdr:pic>
      <xdr:nvPicPr>
        <xdr:cNvPr id="957506" name="Picture 1">
          <a:extLst>
            <a:ext uri="{FF2B5EF4-FFF2-40B4-BE49-F238E27FC236}">
              <a16:creationId xmlns:a16="http://schemas.microsoft.com/office/drawing/2014/main" id="{8B5BB5C1-261A-4FA0-AB0C-D2B6E1C72D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5150"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1</xdr:col>
      <xdr:colOff>0</xdr:colOff>
      <xdr:row>4</xdr:row>
      <xdr:rowOff>142875</xdr:rowOff>
    </xdr:to>
    <xdr:pic>
      <xdr:nvPicPr>
        <xdr:cNvPr id="957507" name="Picture 2" descr="BRASAO">
          <a:extLst>
            <a:ext uri="{FF2B5EF4-FFF2-40B4-BE49-F238E27FC236}">
              <a16:creationId xmlns:a16="http://schemas.microsoft.com/office/drawing/2014/main" id="{F84FCE39-0746-4282-A5D8-F556109756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47625"/>
          <a:ext cx="723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11</xdr:col>
      <xdr:colOff>647700</xdr:colOff>
      <xdr:row>5</xdr:row>
      <xdr:rowOff>9525</xdr:rowOff>
    </xdr:to>
    <xdr:pic>
      <xdr:nvPicPr>
        <xdr:cNvPr id="957508" name="Picture 4" descr="imagem1">
          <a:extLst>
            <a:ext uri="{FF2B5EF4-FFF2-40B4-BE49-F238E27FC236}">
              <a16:creationId xmlns:a16="http://schemas.microsoft.com/office/drawing/2014/main" id="{DE3F4CD7-3F7B-4B69-A7FA-D45A021610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54150" y="190500"/>
          <a:ext cx="647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523875</xdr:colOff>
      <xdr:row>17</xdr:row>
      <xdr:rowOff>0</xdr:rowOff>
    </xdr:from>
    <xdr:to>
      <xdr:col>10</xdr:col>
      <xdr:colOff>0</xdr:colOff>
      <xdr:row>17</xdr:row>
      <xdr:rowOff>0</xdr:rowOff>
    </xdr:to>
    <xdr:pic>
      <xdr:nvPicPr>
        <xdr:cNvPr id="957509" name="Picture 5">
          <a:extLst>
            <a:ext uri="{FF2B5EF4-FFF2-40B4-BE49-F238E27FC236}">
              <a16:creationId xmlns:a16="http://schemas.microsoft.com/office/drawing/2014/main" id="{CF663CE6-CF5A-4C7E-8CA5-968DD59E2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4925" y="3705225"/>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523875</xdr:colOff>
      <xdr:row>17</xdr:row>
      <xdr:rowOff>0</xdr:rowOff>
    </xdr:from>
    <xdr:to>
      <xdr:col>12</xdr:col>
      <xdr:colOff>0</xdr:colOff>
      <xdr:row>17</xdr:row>
      <xdr:rowOff>0</xdr:rowOff>
    </xdr:to>
    <xdr:pic>
      <xdr:nvPicPr>
        <xdr:cNvPr id="957510" name="Picture 6">
          <a:extLst>
            <a:ext uri="{FF2B5EF4-FFF2-40B4-BE49-F238E27FC236}">
              <a16:creationId xmlns:a16="http://schemas.microsoft.com/office/drawing/2014/main" id="{8B960658-23E2-46A0-AB36-C66284817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78025" y="37052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17</xdr:row>
      <xdr:rowOff>0</xdr:rowOff>
    </xdr:from>
    <xdr:to>
      <xdr:col>6</xdr:col>
      <xdr:colOff>0</xdr:colOff>
      <xdr:row>17</xdr:row>
      <xdr:rowOff>0</xdr:rowOff>
    </xdr:to>
    <xdr:pic>
      <xdr:nvPicPr>
        <xdr:cNvPr id="957511" name="Picture 7">
          <a:extLst>
            <a:ext uri="{FF2B5EF4-FFF2-40B4-BE49-F238E27FC236}">
              <a16:creationId xmlns:a16="http://schemas.microsoft.com/office/drawing/2014/main" id="{6258F43F-2837-4A22-8E86-ECF216192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3705225"/>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lgrodrigues\Dados%20de%20aplicativos\Microsoft\Suplementos\VExtenso.xl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Nuccia\Acompanhamento%20de%20Obra\Ano%202.008\Mirassol%20D'Oeste\EE%20Jos&#233;%20de%20Anchieta%20122%2008\EE%20JOS&#201;%20DE%20ANCHIETA%20Reforma%20Amplia&#231;&#227;o%20Coz%20Ref%20Amplia&#231;&#227;o%2002%20Salas%20Aula%20maio%20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lgrodrigues\Configura&#231;&#245;es%20locais\Temporary%20Internet%20Files\OLK5D\PlanOrC_Reforma%20Geral%20EE%20Padre%20Wanir_Nov2008%20-%20INTERIOR1_ATUALIZADA%20el&#233;tr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VExtenso"/>
    </sheetNames>
    <definedNames>
      <definedName name="VExtenso"/>
    </defined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ª Med"/>
      <sheetName val="11ª Med"/>
      <sheetName val="10ª Med"/>
      <sheetName val="9ª Med"/>
      <sheetName val="8ª Med"/>
      <sheetName val="7ª Med"/>
      <sheetName val="6ª Med"/>
      <sheetName val="5ª Med"/>
      <sheetName val="4ª Med"/>
      <sheetName val="3ª Med"/>
      <sheetName val="2ª Med"/>
      <sheetName val="1ª Med"/>
      <sheetName val="CONSOLIDA"/>
      <sheetName val="Reforma"/>
      <sheetName val="Crono Reforma"/>
      <sheetName val="Quant Reforma"/>
      <sheetName val="Ampl Coz Ref"/>
      <sheetName val="Crono Coz Ref"/>
      <sheetName val="Quant Ampl Coz Ref Sanitários"/>
      <sheetName val="Ampl 02 Salas Aula"/>
      <sheetName val="Crono Ampl 02 Salas Aula"/>
      <sheetName val="Quant Ampl 02 Salas Aula"/>
      <sheetName val="Hidro WC"/>
      <sheetName val="Hidro PNE"/>
      <sheetName val="Hidro Coz"/>
      <sheetName val="CRON hidro"/>
      <sheetName val="Elétrica"/>
      <sheetName val="Crono Elétr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C12" t="str">
            <v>SERVIÇOS  PRELIMINARES</v>
          </cell>
        </row>
        <row r="15">
          <cell r="C15" t="str">
            <v>MOVIMENTO DE SOLOS</v>
          </cell>
        </row>
        <row r="20">
          <cell r="C20" t="str">
            <v>INFRA - ESTRUTURA</v>
          </cell>
        </row>
        <row r="27">
          <cell r="C27" t="str">
            <v>MESO E SUPER - ESTRUTURA</v>
          </cell>
        </row>
        <row r="33">
          <cell r="C33" t="str">
            <v>IMPERMEABILIZAÇÃO, TRATAMENTOS E ISOLAMENTOS TÉRMICOS</v>
          </cell>
        </row>
        <row r="36">
          <cell r="C36" t="str">
            <v>ELEMENTOS DE VEDAÇÃO</v>
          </cell>
        </row>
        <row r="40">
          <cell r="C40" t="str">
            <v>COBERTURA</v>
          </cell>
        </row>
        <row r="46">
          <cell r="C46" t="str">
            <v>ESQUADRIAS</v>
          </cell>
        </row>
        <row r="51">
          <cell r="C51" t="str">
            <v>REVESTIMENTOS</v>
          </cell>
        </row>
        <row r="55">
          <cell r="C55" t="str">
            <v>PISOS</v>
          </cell>
        </row>
        <row r="61">
          <cell r="C61" t="str">
            <v>FORROS E DIVISÓRIAS</v>
          </cell>
        </row>
        <row r="64">
          <cell r="C64" t="str">
            <v>VIDROS</v>
          </cell>
        </row>
        <row r="67">
          <cell r="C67" t="str">
            <v>PINTURA</v>
          </cell>
        </row>
        <row r="72">
          <cell r="C72" t="str">
            <v>SERVIÇOS CONSTRUTIVOS COMPLEMENTARES</v>
          </cell>
        </row>
        <row r="75">
          <cell r="C75" t="str">
            <v>URBANIZAÇÃO E PAISAGISMO</v>
          </cell>
        </row>
        <row r="78">
          <cell r="C78" t="str">
            <v>LIMPEZA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ª Med"/>
      <sheetName val="11ª Med"/>
      <sheetName val="10ª Med"/>
      <sheetName val="9ª Med"/>
      <sheetName val="8ª Med"/>
      <sheetName val="7ª Med"/>
      <sheetName val="6ª Med"/>
      <sheetName val="5ª Med"/>
      <sheetName val="4ª Med"/>
      <sheetName val="3ª Med"/>
      <sheetName val="2ª Med"/>
      <sheetName val="1ª Med"/>
      <sheetName val="CONSOLIDA"/>
      <sheetName val="Quat Const."/>
      <sheetName val="Quant Ampl 02 Salas"/>
      <sheetName val="Elétrica"/>
      <sheetName val="Crono Elétr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A6" t="str">
            <v xml:space="preserve">ESTABELECIMENTO: EE </v>
          </cell>
        </row>
        <row r="7">
          <cell r="A7" t="str">
            <v>MUNICÍPIO: CUIABÁ - MT</v>
          </cell>
        </row>
        <row r="8">
          <cell r="A8" t="str">
            <v xml:space="preserve">ENDEREÇO: </v>
          </cell>
          <cell r="C8" t="str">
            <v xml:space="preserve">Boletim SINFRA Setembro/2008 </v>
          </cell>
        </row>
      </sheetData>
      <sheetData sheetId="13" refreshError="1"/>
      <sheetData sheetId="14" refreshError="1"/>
      <sheetData sheetId="15" refreshError="1"/>
      <sheetData sheetId="16" refreshError="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7</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'11ª Med'!K9:L9+30</f>
        <v>39970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Reforma!AV147-G19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Aula'!AV90-G20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Elétrica!AV127-G22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Drenagem!AV23-G23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2:J12"/>
    <mergeCell ref="K12:L12"/>
    <mergeCell ref="I13:J13"/>
    <mergeCell ref="K10:L10"/>
    <mergeCell ref="I10:J10"/>
    <mergeCell ref="I11:J11"/>
    <mergeCell ref="K11:L11"/>
    <mergeCell ref="K13:L13"/>
    <mergeCell ref="A6:L6"/>
    <mergeCell ref="I7:J7"/>
    <mergeCell ref="I8:J8"/>
    <mergeCell ref="I9:J9"/>
    <mergeCell ref="K7:L7"/>
    <mergeCell ref="K8:L8"/>
    <mergeCell ref="K9:L9"/>
    <mergeCell ref="A25:B25"/>
    <mergeCell ref="H15:H17"/>
    <mergeCell ref="A15:A17"/>
    <mergeCell ref="D15:D17"/>
    <mergeCell ref="G15:G17"/>
    <mergeCell ref="B15:B17"/>
    <mergeCell ref="C15:C17"/>
    <mergeCell ref="E15:E17"/>
    <mergeCell ref="F15:F17"/>
    <mergeCell ref="I15:I17"/>
    <mergeCell ref="J15:J17"/>
    <mergeCell ref="I36:K36"/>
    <mergeCell ref="C30:L31"/>
    <mergeCell ref="K15:K17"/>
    <mergeCell ref="L15:L17"/>
    <mergeCell ref="D36:E36"/>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36</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'2ª Med'!K9:L9+30</f>
        <v>39700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Reforma!U147-G19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Aula'!U90-G20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Elétrica!U127-G22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Drenagem!U23-G23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5:I17"/>
    <mergeCell ref="J15:J17"/>
    <mergeCell ref="I36:K36"/>
    <mergeCell ref="C30:L31"/>
    <mergeCell ref="K15:K17"/>
    <mergeCell ref="L15:L17"/>
    <mergeCell ref="D36:E36"/>
    <mergeCell ref="A25:B25"/>
    <mergeCell ref="H15:H17"/>
    <mergeCell ref="A15:A17"/>
    <mergeCell ref="D15:D17"/>
    <mergeCell ref="G15:G17"/>
    <mergeCell ref="B15:B17"/>
    <mergeCell ref="C15:C17"/>
    <mergeCell ref="E15:E17"/>
    <mergeCell ref="F15:F17"/>
    <mergeCell ref="A6:L6"/>
    <mergeCell ref="I7:J7"/>
    <mergeCell ref="I8:J8"/>
    <mergeCell ref="I9:J9"/>
    <mergeCell ref="K7:L7"/>
    <mergeCell ref="K8:L8"/>
    <mergeCell ref="K9:L9"/>
    <mergeCell ref="I12:J12"/>
    <mergeCell ref="K12:L12"/>
    <mergeCell ref="I13:J13"/>
    <mergeCell ref="K10:L10"/>
    <mergeCell ref="I10:J10"/>
    <mergeCell ref="I11:J11"/>
    <mergeCell ref="K11:L11"/>
    <mergeCell ref="K13:L13"/>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37</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'1ª Med'!K9:L9+30</f>
        <v>39670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Reforma!R147-G19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Aula'!R90-G20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Elétrica!R127-G22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Drenagem!R23-G23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2:J12"/>
    <mergeCell ref="K12:L12"/>
    <mergeCell ref="I13:J13"/>
    <mergeCell ref="K10:L10"/>
    <mergeCell ref="I10:J10"/>
    <mergeCell ref="I11:J11"/>
    <mergeCell ref="K11:L11"/>
    <mergeCell ref="K13:L13"/>
    <mergeCell ref="A6:L6"/>
    <mergeCell ref="I7:J7"/>
    <mergeCell ref="I8:J8"/>
    <mergeCell ref="I9:J9"/>
    <mergeCell ref="K7:L7"/>
    <mergeCell ref="K8:L8"/>
    <mergeCell ref="K9:L9"/>
    <mergeCell ref="A25:B25"/>
    <mergeCell ref="H15:H17"/>
    <mergeCell ref="A15:A17"/>
    <mergeCell ref="D15:D17"/>
    <mergeCell ref="G15:G17"/>
    <mergeCell ref="B15:B17"/>
    <mergeCell ref="C15:C17"/>
    <mergeCell ref="E15:E17"/>
    <mergeCell ref="F15:F17"/>
    <mergeCell ref="I15:I17"/>
    <mergeCell ref="J15:J17"/>
    <mergeCell ref="I36:K36"/>
    <mergeCell ref="C30:L31"/>
    <mergeCell ref="K15:K17"/>
    <mergeCell ref="L15:L17"/>
    <mergeCell ref="D36:E36"/>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8"/>
  <sheetViews>
    <sheetView view="pageBreakPreview" zoomScale="75" zoomScaleNormal="7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bestFit="1" customWidth="1"/>
    <col min="8" max="8" width="10.85546875" style="167" bestFit="1"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
        <v>38</v>
      </c>
      <c r="J7" s="599"/>
      <c r="K7" s="612" t="s">
        <v>39</v>
      </c>
      <c r="L7" s="613"/>
    </row>
    <row r="8" spans="1:115" ht="16.5" x14ac:dyDescent="0.2">
      <c r="A8" s="235" t="e">
        <f>RESUMO!#REF!</f>
        <v>#REF!</v>
      </c>
      <c r="B8" s="168"/>
      <c r="C8" s="169"/>
      <c r="D8" s="169"/>
      <c r="E8" s="169"/>
      <c r="F8" s="169"/>
      <c r="G8" s="169"/>
      <c r="H8" s="169"/>
      <c r="I8" s="600" t="s">
        <v>6</v>
      </c>
      <c r="J8" s="600"/>
      <c r="K8" s="603" t="s">
        <v>40</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K10+30</f>
        <v>39640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10">
        <v>39610</v>
      </c>
      <c r="L10" s="611"/>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Reforma!O147-G19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s">
        <v>41</v>
      </c>
      <c r="B20" s="178" t="e">
        <f>RESUMO!#REF!</f>
        <v>#REF!</v>
      </c>
      <c r="C20" s="159">
        <f>'Ampliação 02 Salas Aula'!K90+'Ampliação 02 Salas Aula'!L90</f>
        <v>90706.390000000014</v>
      </c>
      <c r="D20" s="157" t="e">
        <f>C20/$C$25</f>
        <v>#REF!</v>
      </c>
      <c r="E20" s="158">
        <f>'Ampliação 02 Salas Aula'!O90-G20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Elétrica!O127-G22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Drenagem!O23-G23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5.75" x14ac:dyDescent="0.2">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6.5" thickBot="1" x14ac:dyDescent="0.25">
      <c r="A28" s="398"/>
      <c r="B28" s="194" t="s">
        <v>42</v>
      </c>
      <c r="C28" s="225"/>
      <c r="D28" s="163"/>
      <c r="E28" s="163"/>
      <c r="F28" s="163"/>
      <c r="G28" s="163"/>
      <c r="H28" s="164"/>
      <c r="I28" s="169"/>
      <c r="J28" s="169"/>
      <c r="K28" s="402"/>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8.75" thickBot="1" x14ac:dyDescent="0.25">
      <c r="A29" s="398"/>
      <c r="B29" s="222" t="s">
        <v>23</v>
      </c>
      <c r="C29" s="226" t="e">
        <f>C27-C28</f>
        <v>#REF!</v>
      </c>
      <c r="D29" s="223" t="e">
        <f>C29/C25</f>
        <v>#REF!</v>
      </c>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5.75" x14ac:dyDescent="0.2">
      <c r="A30" s="398"/>
      <c r="B30" s="194"/>
      <c r="C30" s="193"/>
      <c r="D30" s="163"/>
      <c r="E30" s="163"/>
      <c r="F30" s="163"/>
      <c r="G30" s="163"/>
      <c r="H30" s="164"/>
      <c r="I30" s="169"/>
      <c r="J30" s="169"/>
      <c r="K30" s="169"/>
      <c r="L30" s="397"/>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398"/>
      <c r="B31" s="227" t="s">
        <v>24</v>
      </c>
      <c r="C31" s="584" t="e">
        <f ca="1">UPPER([3]!VExtenso(C29))</f>
        <v>#NAME?</v>
      </c>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8" x14ac:dyDescent="0.2">
      <c r="A32" s="183"/>
      <c r="B32" s="228"/>
      <c r="C32" s="584"/>
      <c r="D32" s="584"/>
      <c r="E32" s="584"/>
      <c r="F32" s="584"/>
      <c r="G32" s="584"/>
      <c r="H32" s="584"/>
      <c r="I32" s="584"/>
      <c r="J32" s="584"/>
      <c r="K32" s="584"/>
      <c r="L32" s="585"/>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3"/>
      <c r="B35" s="162"/>
      <c r="C35" s="163"/>
      <c r="D35" s="163"/>
      <c r="E35" s="163"/>
      <c r="F35" s="163"/>
      <c r="G35" s="163"/>
      <c r="H35" s="164"/>
      <c r="I35" s="169"/>
      <c r="J35" s="169"/>
      <c r="K35" s="169"/>
      <c r="L35" s="397"/>
    </row>
    <row r="36" spans="1:12" ht="15.75" x14ac:dyDescent="0.2">
      <c r="A36" s="187"/>
      <c r="B36" s="165"/>
      <c r="C36" s="169"/>
      <c r="D36" s="399"/>
      <c r="E36" s="399"/>
      <c r="F36" s="169"/>
      <c r="G36" s="169"/>
      <c r="H36" s="169"/>
      <c r="I36" s="166"/>
      <c r="J36" s="166"/>
      <c r="K36" s="166"/>
      <c r="L36" s="397"/>
    </row>
    <row r="37" spans="1:12" ht="15.75" customHeight="1" x14ac:dyDescent="0.2">
      <c r="A37" s="187"/>
      <c r="B37" s="234" t="s">
        <v>25</v>
      </c>
      <c r="C37" s="169"/>
      <c r="D37" s="586" t="s">
        <v>26</v>
      </c>
      <c r="E37" s="586"/>
      <c r="F37" s="169"/>
      <c r="G37" s="169"/>
      <c r="H37" s="169"/>
      <c r="I37" s="583" t="s">
        <v>27</v>
      </c>
      <c r="J37" s="583"/>
      <c r="K37" s="583"/>
      <c r="L37" s="397"/>
    </row>
    <row r="38" spans="1:12" ht="16.5" thickBot="1" x14ac:dyDescent="0.25">
      <c r="A38" s="188"/>
      <c r="B38" s="189"/>
      <c r="C38" s="190"/>
      <c r="D38" s="190"/>
      <c r="E38" s="190"/>
      <c r="F38" s="190"/>
      <c r="G38" s="400"/>
      <c r="H38" s="400"/>
      <c r="I38" s="400"/>
      <c r="J38" s="400"/>
      <c r="K38" s="400"/>
      <c r="L38" s="401"/>
    </row>
  </sheetData>
  <mergeCells count="31">
    <mergeCell ref="I15:I17"/>
    <mergeCell ref="J15:J17"/>
    <mergeCell ref="I37:K37"/>
    <mergeCell ref="C31:L32"/>
    <mergeCell ref="K15:K17"/>
    <mergeCell ref="L15:L17"/>
    <mergeCell ref="D37:E37"/>
    <mergeCell ref="A25:B25"/>
    <mergeCell ref="H15:H17"/>
    <mergeCell ref="A15:A17"/>
    <mergeCell ref="D15:D17"/>
    <mergeCell ref="G15:G17"/>
    <mergeCell ref="B15:B17"/>
    <mergeCell ref="C15:C17"/>
    <mergeCell ref="E15:E17"/>
    <mergeCell ref="F15:F17"/>
    <mergeCell ref="A6:L6"/>
    <mergeCell ref="I7:J7"/>
    <mergeCell ref="I8:J8"/>
    <mergeCell ref="I9:J9"/>
    <mergeCell ref="K7:L7"/>
    <mergeCell ref="K8:L8"/>
    <mergeCell ref="K9:L9"/>
    <mergeCell ref="I12:J12"/>
    <mergeCell ref="K12:L12"/>
    <mergeCell ref="I13:J13"/>
    <mergeCell ref="K10:L10"/>
    <mergeCell ref="I10:J10"/>
    <mergeCell ref="I11:J11"/>
    <mergeCell ref="K11:L11"/>
    <mergeCell ref="K13:L13"/>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pageSetUpPr fitToPage="1"/>
  </sheetPr>
  <dimension ref="A1:E292"/>
  <sheetViews>
    <sheetView tabSelected="1" view="pageBreakPreview" zoomScale="85" zoomScaleNormal="90" zoomScaleSheetLayoutView="85" workbookViewId="0">
      <selection activeCell="C20" sqref="C20"/>
    </sheetView>
  </sheetViews>
  <sheetFormatPr defaultColWidth="9.140625" defaultRowHeight="15.75" x14ac:dyDescent="0.25"/>
  <cols>
    <col min="1" max="1" width="14.5703125" style="376" bestFit="1" customWidth="1"/>
    <col min="2" max="2" width="101.5703125" style="376" bestFit="1" customWidth="1"/>
    <col min="3" max="3" width="17.28515625" style="376" bestFit="1" customWidth="1"/>
    <col min="4" max="4" width="11.85546875" style="376" bestFit="1" customWidth="1"/>
    <col min="5" max="16384" width="9.140625" style="376"/>
  </cols>
  <sheetData>
    <row r="1" spans="1:5" ht="112.5" customHeight="1" x14ac:dyDescent="0.25">
      <c r="A1" s="631" t="s">
        <v>1412</v>
      </c>
      <c r="B1" s="632"/>
      <c r="C1" s="632"/>
      <c r="D1" s="633"/>
    </row>
    <row r="2" spans="1:5" ht="38.25" customHeight="1" x14ac:dyDescent="0.25">
      <c r="A2" s="413" t="s">
        <v>43</v>
      </c>
      <c r="B2" s="639" t="s">
        <v>1413</v>
      </c>
      <c r="C2" s="639"/>
      <c r="D2" s="640"/>
    </row>
    <row r="3" spans="1:5" ht="31.5" x14ac:dyDescent="0.25">
      <c r="A3" s="413" t="s">
        <v>44</v>
      </c>
      <c r="B3" s="414" t="s">
        <v>1386</v>
      </c>
      <c r="C3" s="415" t="s">
        <v>45</v>
      </c>
      <c r="D3" s="416">
        <f>BDI!D30</f>
        <v>0.22226164190779008</v>
      </c>
    </row>
    <row r="4" spans="1:5" x14ac:dyDescent="0.25">
      <c r="A4" s="413" t="s">
        <v>46</v>
      </c>
      <c r="B4" s="417" t="s">
        <v>1387</v>
      </c>
      <c r="C4" s="418" t="s">
        <v>47</v>
      </c>
      <c r="D4" s="419">
        <v>44869</v>
      </c>
    </row>
    <row r="5" spans="1:5" ht="31.5" x14ac:dyDescent="0.25">
      <c r="A5" s="413" t="s">
        <v>48</v>
      </c>
      <c r="B5" s="414" t="s">
        <v>1414</v>
      </c>
      <c r="C5" s="634" t="s">
        <v>1388</v>
      </c>
      <c r="D5" s="635"/>
      <c r="E5" s="384"/>
    </row>
    <row r="6" spans="1:5" x14ac:dyDescent="0.25">
      <c r="A6" s="620"/>
      <c r="B6" s="621"/>
      <c r="C6" s="621"/>
      <c r="D6" s="622"/>
    </row>
    <row r="7" spans="1:5" x14ac:dyDescent="0.25">
      <c r="A7" s="636" t="s">
        <v>49</v>
      </c>
      <c r="B7" s="637"/>
      <c r="C7" s="637"/>
      <c r="D7" s="638"/>
    </row>
    <row r="8" spans="1:5" x14ac:dyDescent="0.25">
      <c r="A8" s="625"/>
      <c r="B8" s="626"/>
      <c r="C8" s="626"/>
      <c r="D8" s="627"/>
    </row>
    <row r="9" spans="1:5" x14ac:dyDescent="0.25">
      <c r="A9" s="420" t="s">
        <v>50</v>
      </c>
      <c r="B9" s="421" t="s">
        <v>51</v>
      </c>
      <c r="C9" s="421" t="s">
        <v>52</v>
      </c>
      <c r="D9" s="422" t="s">
        <v>16</v>
      </c>
    </row>
    <row r="10" spans="1:5" x14ac:dyDescent="0.25">
      <c r="A10" s="423" t="s">
        <v>53</v>
      </c>
      <c r="B10" s="424" t="str">
        <f>ORÇAMENTO!C11</f>
        <v>ADMINISTRAÇÃO DE OBRA</v>
      </c>
      <c r="C10" s="425">
        <f>ORÇAMENTO!H13</f>
        <v>23635.58</v>
      </c>
      <c r="D10" s="426">
        <f t="shared" ref="D10:D19" si="0">100*C10/C$20</f>
        <v>4.6273871989230191</v>
      </c>
    </row>
    <row r="11" spans="1:5" x14ac:dyDescent="0.25">
      <c r="A11" s="423" t="str">
        <f>ORÇAMENTO!A15</f>
        <v>2.0</v>
      </c>
      <c r="B11" s="424" t="str">
        <f>ORÇAMENTO!C15</f>
        <v>SERVIÇOS PRELIMINARES</v>
      </c>
      <c r="C11" s="425">
        <f>ORÇAMENTO!H17</f>
        <v>1907.73</v>
      </c>
      <c r="D11" s="426">
        <f t="shared" si="0"/>
        <v>0.37349645665566111</v>
      </c>
    </row>
    <row r="12" spans="1:5" x14ac:dyDescent="0.25">
      <c r="A12" s="423" t="str">
        <f>ORÇAMENTO!A19</f>
        <v>3.0</v>
      </c>
      <c r="B12" s="424" t="str">
        <f>ORÇAMENTO!C19</f>
        <v>SERVIÇOS DE FUNDAÇÃO POSTE CONCRETO</v>
      </c>
      <c r="C12" s="425">
        <f>ORÇAMENTO!H23</f>
        <v>12525.779999999999</v>
      </c>
      <c r="D12" s="426">
        <f t="shared" si="0"/>
        <v>2.4523042814488147</v>
      </c>
    </row>
    <row r="13" spans="1:5" x14ac:dyDescent="0.25">
      <c r="A13" s="423" t="str">
        <f>ORÇAMENTO!A25</f>
        <v>4.0</v>
      </c>
      <c r="B13" s="424" t="str">
        <f>ORÇAMENTO!C25</f>
        <v>ESTRUTURA CE3-TR-CFU E POSTO DE TRANSFORMAÇÃO DE 45KVA E 225KVA</v>
      </c>
      <c r="C13" s="425">
        <f>ORÇAMENTO!H80</f>
        <v>313998.67</v>
      </c>
      <c r="D13" s="426">
        <f t="shared" si="0"/>
        <v>61.474836921152495</v>
      </c>
    </row>
    <row r="14" spans="1:5" x14ac:dyDescent="0.25">
      <c r="A14" s="423" t="str">
        <f>ORÇAMENTO!A82</f>
        <v>5.0</v>
      </c>
      <c r="B14" s="424" t="str">
        <f>ORÇAMENTO!C82</f>
        <v>ESTRUTURA CE2</v>
      </c>
      <c r="C14" s="425">
        <f>ORÇAMENTO!H92</f>
        <v>13593.48</v>
      </c>
      <c r="D14" s="426">
        <f t="shared" si="0"/>
        <v>2.6613391903569146</v>
      </c>
    </row>
    <row r="15" spans="1:5" x14ac:dyDescent="0.25">
      <c r="A15" s="423" t="str">
        <f>ORÇAMENTO!A94</f>
        <v>6.0</v>
      </c>
      <c r="B15" s="427" t="str">
        <f>ORÇAMENTO!C94</f>
        <v>ESTRUTURA CEA1</v>
      </c>
      <c r="C15" s="425">
        <f>ORÇAMENTO!H103</f>
        <v>35006.300000000003</v>
      </c>
      <c r="D15" s="426">
        <f t="shared" si="0"/>
        <v>6.8535531813333499</v>
      </c>
    </row>
    <row r="16" spans="1:5" x14ac:dyDescent="0.25">
      <c r="A16" s="423" t="str">
        <f>ORÇAMENTO!A105</f>
        <v>7.0</v>
      </c>
      <c r="B16" s="427" t="str">
        <f>ORÇAMENTO!C105</f>
        <v>INSTALAÇÃO DERIVAÇÃO COM CHAVE FUSÍVEL E ESTRUTURA CE2-CE3-CFU</v>
      </c>
      <c r="C16" s="425">
        <f>ORÇAMENTO!H128</f>
        <v>9828.93</v>
      </c>
      <c r="D16" s="426">
        <f t="shared" si="0"/>
        <v>1.924313465593416</v>
      </c>
    </row>
    <row r="17" spans="1:4" x14ac:dyDescent="0.25">
      <c r="A17" s="423" t="str">
        <f>ORÇAMENTO!A130</f>
        <v>8.0</v>
      </c>
      <c r="B17" s="427" t="str">
        <f>ORÇAMENTO!C130</f>
        <v>ESTRUTURA CE2-CE3</v>
      </c>
      <c r="C17" s="425">
        <f>ORÇAMENTO!H147</f>
        <v>9041.07</v>
      </c>
      <c r="D17" s="426">
        <f t="shared" si="0"/>
        <v>1.7700657899051744</v>
      </c>
    </row>
    <row r="18" spans="1:4" x14ac:dyDescent="0.25">
      <c r="A18" s="423" t="s">
        <v>296</v>
      </c>
      <c r="B18" s="427" t="str">
        <f>ORÇAMENTO!$C$149</f>
        <v>ESTRUTURA CE3-CE3</v>
      </c>
      <c r="C18" s="425">
        <f>ORÇAMENTO!$H$166</f>
        <v>18080.09</v>
      </c>
      <c r="D18" s="426">
        <f t="shared" si="0"/>
        <v>3.539730229652756</v>
      </c>
    </row>
    <row r="19" spans="1:4" x14ac:dyDescent="0.25">
      <c r="A19" s="423" t="s">
        <v>314</v>
      </c>
      <c r="B19" s="427" t="str">
        <f>ORÇAMENTO!$C$168</f>
        <v>MEDIÇÃO EM MÉDIA TENSÃO</v>
      </c>
      <c r="C19" s="425">
        <f>ORÇAMENTO!$H$211</f>
        <v>73158.3</v>
      </c>
      <c r="D19" s="426">
        <f t="shared" si="0"/>
        <v>14.322973284978406</v>
      </c>
    </row>
    <row r="20" spans="1:4" x14ac:dyDescent="0.25">
      <c r="A20" s="623" t="s">
        <v>54</v>
      </c>
      <c r="B20" s="624"/>
      <c r="C20" s="428">
        <f>SUM(C10:C19)</f>
        <v>510775.93</v>
      </c>
      <c r="D20" s="429">
        <f>SUM(D10:D19)</f>
        <v>100.00000000000001</v>
      </c>
    </row>
    <row r="21" spans="1:4" x14ac:dyDescent="0.25">
      <c r="A21" s="617"/>
      <c r="B21" s="618"/>
      <c r="C21" s="618"/>
      <c r="D21" s="619"/>
    </row>
    <row r="22" spans="1:4" x14ac:dyDescent="0.25">
      <c r="A22" s="628" t="s">
        <v>1677</v>
      </c>
      <c r="B22" s="629"/>
      <c r="C22" s="629"/>
      <c r="D22" s="630"/>
    </row>
    <row r="23" spans="1:4" x14ac:dyDescent="0.25">
      <c r="A23" s="617"/>
      <c r="B23" s="618"/>
      <c r="C23" s="618"/>
      <c r="D23" s="619"/>
    </row>
    <row r="24" spans="1:4" ht="33" customHeight="1" thickBot="1" x14ac:dyDescent="0.3">
      <c r="A24" s="614" t="str">
        <f>ORÇAMENTO!A214</f>
        <v>IMPORTA O VALOR TOTAL DO CONTRATO DE VALOR: QUINHENTOS E DEZ MIL, SETECENTOS E SETENTA E CINCO REAIS E NOVENTA E TRÊS CENTAVOS</v>
      </c>
      <c r="B24" s="615"/>
      <c r="C24" s="615"/>
      <c r="D24" s="616"/>
    </row>
    <row r="25" spans="1:4" x14ac:dyDescent="0.25">
      <c r="A25" s="378"/>
    </row>
    <row r="26" spans="1:4" x14ac:dyDescent="0.25">
      <c r="A26" s="378"/>
      <c r="C26" s="379"/>
    </row>
    <row r="27" spans="1:4" x14ac:dyDescent="0.25">
      <c r="A27" s="378"/>
    </row>
    <row r="28" spans="1:4" x14ac:dyDescent="0.25">
      <c r="A28" s="378"/>
      <c r="B28" s="376" t="s">
        <v>55</v>
      </c>
    </row>
    <row r="29" spans="1:4" x14ac:dyDescent="0.25">
      <c r="A29" s="378"/>
    </row>
    <row r="30" spans="1:4" x14ac:dyDescent="0.25">
      <c r="A30" s="378"/>
    </row>
    <row r="31" spans="1:4" x14ac:dyDescent="0.25">
      <c r="A31" s="378"/>
    </row>
    <row r="32" spans="1:4" x14ac:dyDescent="0.25">
      <c r="A32" s="378"/>
    </row>
    <row r="33" spans="1:1" x14ac:dyDescent="0.25">
      <c r="A33" s="378"/>
    </row>
    <row r="34" spans="1:1" x14ac:dyDescent="0.25">
      <c r="A34" s="378"/>
    </row>
    <row r="35" spans="1:1" x14ac:dyDescent="0.25">
      <c r="A35" s="378"/>
    </row>
    <row r="36" spans="1:1" x14ac:dyDescent="0.25">
      <c r="A36" s="378"/>
    </row>
    <row r="37" spans="1:1" x14ac:dyDescent="0.25">
      <c r="A37" s="378"/>
    </row>
    <row r="38" spans="1:1" x14ac:dyDescent="0.25">
      <c r="A38" s="378"/>
    </row>
    <row r="39" spans="1:1" x14ac:dyDescent="0.25">
      <c r="A39" s="378"/>
    </row>
    <row r="40" spans="1:1" x14ac:dyDescent="0.25">
      <c r="A40" s="378"/>
    </row>
    <row r="41" spans="1:1" x14ac:dyDescent="0.25">
      <c r="A41" s="378"/>
    </row>
    <row r="42" spans="1:1" x14ac:dyDescent="0.25">
      <c r="A42" s="378"/>
    </row>
    <row r="43" spans="1:1" x14ac:dyDescent="0.25">
      <c r="A43" s="378"/>
    </row>
    <row r="44" spans="1:1" x14ac:dyDescent="0.25">
      <c r="A44" s="378"/>
    </row>
    <row r="45" spans="1:1" x14ac:dyDescent="0.25">
      <c r="A45" s="378"/>
    </row>
    <row r="46" spans="1:1" x14ac:dyDescent="0.25">
      <c r="A46" s="378"/>
    </row>
    <row r="47" spans="1:1" x14ac:dyDescent="0.25">
      <c r="A47" s="378"/>
    </row>
    <row r="48" spans="1:1" x14ac:dyDescent="0.25">
      <c r="A48" s="378"/>
    </row>
    <row r="49" spans="1:1" x14ac:dyDescent="0.25">
      <c r="A49" s="378"/>
    </row>
    <row r="50" spans="1:1" x14ac:dyDescent="0.25">
      <c r="A50" s="378"/>
    </row>
    <row r="51" spans="1:1" x14ac:dyDescent="0.25">
      <c r="A51" s="378"/>
    </row>
    <row r="52" spans="1:1" x14ac:dyDescent="0.25">
      <c r="A52" s="378"/>
    </row>
    <row r="53" spans="1:1" x14ac:dyDescent="0.25">
      <c r="A53" s="378"/>
    </row>
    <row r="54" spans="1:1" x14ac:dyDescent="0.25">
      <c r="A54" s="378"/>
    </row>
    <row r="55" spans="1:1" x14ac:dyDescent="0.25">
      <c r="A55" s="378"/>
    </row>
    <row r="56" spans="1:1" x14ac:dyDescent="0.25">
      <c r="A56" s="378"/>
    </row>
    <row r="57" spans="1:1" x14ac:dyDescent="0.25">
      <c r="A57" s="378"/>
    </row>
    <row r="58" spans="1:1" x14ac:dyDescent="0.25">
      <c r="A58" s="378"/>
    </row>
    <row r="59" spans="1:1" x14ac:dyDescent="0.25">
      <c r="A59" s="378"/>
    </row>
    <row r="60" spans="1:1" x14ac:dyDescent="0.25">
      <c r="A60" s="378"/>
    </row>
    <row r="61" spans="1:1" x14ac:dyDescent="0.25">
      <c r="A61" s="378"/>
    </row>
    <row r="62" spans="1:1" x14ac:dyDescent="0.25">
      <c r="A62" s="378"/>
    </row>
    <row r="63" spans="1:1" x14ac:dyDescent="0.25">
      <c r="A63" s="378"/>
    </row>
    <row r="64" spans="1:1" x14ac:dyDescent="0.25">
      <c r="A64" s="378"/>
    </row>
    <row r="65" spans="1:1" x14ac:dyDescent="0.25">
      <c r="A65" s="378"/>
    </row>
    <row r="66" spans="1:1" x14ac:dyDescent="0.25">
      <c r="A66" s="378"/>
    </row>
    <row r="67" spans="1:1" x14ac:dyDescent="0.25">
      <c r="A67" s="378"/>
    </row>
    <row r="68" spans="1:1" x14ac:dyDescent="0.25">
      <c r="A68" s="378"/>
    </row>
    <row r="69" spans="1:1" x14ac:dyDescent="0.25">
      <c r="A69" s="378"/>
    </row>
    <row r="70" spans="1:1" x14ac:dyDescent="0.25">
      <c r="A70" s="378"/>
    </row>
    <row r="71" spans="1:1" x14ac:dyDescent="0.25">
      <c r="A71" s="378"/>
    </row>
    <row r="72" spans="1:1" x14ac:dyDescent="0.25">
      <c r="A72" s="378"/>
    </row>
    <row r="73" spans="1:1" x14ac:dyDescent="0.25">
      <c r="A73" s="378"/>
    </row>
    <row r="74" spans="1:1" x14ac:dyDescent="0.25">
      <c r="A74" s="378"/>
    </row>
    <row r="75" spans="1:1" x14ac:dyDescent="0.25">
      <c r="A75" s="378"/>
    </row>
    <row r="76" spans="1:1" x14ac:dyDescent="0.25">
      <c r="A76" s="378"/>
    </row>
    <row r="77" spans="1:1" x14ac:dyDescent="0.25">
      <c r="A77" s="378"/>
    </row>
    <row r="78" spans="1:1" x14ac:dyDescent="0.25">
      <c r="A78" s="378"/>
    </row>
    <row r="79" spans="1:1" x14ac:dyDescent="0.25">
      <c r="A79" s="378"/>
    </row>
    <row r="80" spans="1:1" x14ac:dyDescent="0.25">
      <c r="A80" s="378"/>
    </row>
    <row r="81" spans="1:1" x14ac:dyDescent="0.25">
      <c r="A81" s="378"/>
    </row>
    <row r="82" spans="1:1" x14ac:dyDescent="0.25">
      <c r="A82" s="378"/>
    </row>
    <row r="83" spans="1:1" x14ac:dyDescent="0.25">
      <c r="A83" s="378"/>
    </row>
    <row r="84" spans="1:1" x14ac:dyDescent="0.25">
      <c r="A84" s="378"/>
    </row>
    <row r="85" spans="1:1" x14ac:dyDescent="0.25">
      <c r="A85" s="378"/>
    </row>
    <row r="86" spans="1:1" x14ac:dyDescent="0.25">
      <c r="A86" s="378"/>
    </row>
    <row r="87" spans="1:1" x14ac:dyDescent="0.25">
      <c r="A87" s="378"/>
    </row>
    <row r="88" spans="1:1" x14ac:dyDescent="0.25">
      <c r="A88" s="378"/>
    </row>
    <row r="89" spans="1:1" x14ac:dyDescent="0.25">
      <c r="A89" s="378"/>
    </row>
    <row r="90" spans="1:1" x14ac:dyDescent="0.25">
      <c r="A90" s="378"/>
    </row>
    <row r="91" spans="1:1" x14ac:dyDescent="0.25">
      <c r="A91" s="378"/>
    </row>
    <row r="92" spans="1:1" x14ac:dyDescent="0.25">
      <c r="A92" s="378"/>
    </row>
    <row r="93" spans="1:1" x14ac:dyDescent="0.25">
      <c r="A93" s="378"/>
    </row>
    <row r="94" spans="1:1" x14ac:dyDescent="0.25">
      <c r="A94" s="378"/>
    </row>
    <row r="95" spans="1:1" x14ac:dyDescent="0.25">
      <c r="A95" s="378"/>
    </row>
    <row r="96" spans="1:1" x14ac:dyDescent="0.25">
      <c r="A96" s="378"/>
    </row>
    <row r="97" spans="1:1" x14ac:dyDescent="0.25">
      <c r="A97" s="378"/>
    </row>
    <row r="98" spans="1:1" x14ac:dyDescent="0.25">
      <c r="A98" s="378"/>
    </row>
    <row r="99" spans="1:1" x14ac:dyDescent="0.25">
      <c r="A99" s="378"/>
    </row>
    <row r="100" spans="1:1" x14ac:dyDescent="0.25">
      <c r="A100" s="378"/>
    </row>
    <row r="101" spans="1:1" x14ac:dyDescent="0.25">
      <c r="A101" s="378"/>
    </row>
    <row r="102" spans="1:1" x14ac:dyDescent="0.25">
      <c r="A102" s="378"/>
    </row>
    <row r="103" spans="1:1" x14ac:dyDescent="0.25">
      <c r="A103" s="378"/>
    </row>
    <row r="104" spans="1:1" x14ac:dyDescent="0.25">
      <c r="A104" s="378"/>
    </row>
    <row r="105" spans="1:1" x14ac:dyDescent="0.25">
      <c r="A105" s="378"/>
    </row>
    <row r="106" spans="1:1" x14ac:dyDescent="0.25">
      <c r="A106" s="378"/>
    </row>
    <row r="107" spans="1:1" x14ac:dyDescent="0.25">
      <c r="A107" s="378"/>
    </row>
    <row r="108" spans="1:1" x14ac:dyDescent="0.25">
      <c r="A108" s="378"/>
    </row>
    <row r="109" spans="1:1" x14ac:dyDescent="0.25">
      <c r="A109" s="378"/>
    </row>
    <row r="110" spans="1:1" x14ac:dyDescent="0.25">
      <c r="A110" s="378"/>
    </row>
    <row r="111" spans="1:1" x14ac:dyDescent="0.25">
      <c r="A111" s="378"/>
    </row>
    <row r="112" spans="1:1" x14ac:dyDescent="0.25">
      <c r="A112" s="378"/>
    </row>
    <row r="113" spans="1:1" x14ac:dyDescent="0.25">
      <c r="A113" s="378"/>
    </row>
    <row r="114" spans="1:1" x14ac:dyDescent="0.25">
      <c r="A114" s="378"/>
    </row>
    <row r="115" spans="1:1" x14ac:dyDescent="0.25">
      <c r="A115" s="378"/>
    </row>
    <row r="116" spans="1:1" x14ac:dyDescent="0.25">
      <c r="A116" s="378"/>
    </row>
    <row r="117" spans="1:1" x14ac:dyDescent="0.25">
      <c r="A117" s="378"/>
    </row>
    <row r="118" spans="1:1" x14ac:dyDescent="0.25">
      <c r="A118" s="378"/>
    </row>
    <row r="119" spans="1:1" x14ac:dyDescent="0.25">
      <c r="A119" s="378"/>
    </row>
    <row r="120" spans="1:1" x14ac:dyDescent="0.25">
      <c r="A120" s="378"/>
    </row>
    <row r="121" spans="1:1" x14ac:dyDescent="0.25">
      <c r="A121" s="378"/>
    </row>
    <row r="122" spans="1:1" x14ac:dyDescent="0.25">
      <c r="A122" s="378"/>
    </row>
    <row r="123" spans="1:1" x14ac:dyDescent="0.25">
      <c r="A123" s="378"/>
    </row>
    <row r="124" spans="1:1" x14ac:dyDescent="0.25">
      <c r="A124" s="378"/>
    </row>
    <row r="125" spans="1:1" x14ac:dyDescent="0.25">
      <c r="A125" s="378"/>
    </row>
    <row r="126" spans="1:1" x14ac:dyDescent="0.25">
      <c r="A126" s="378"/>
    </row>
    <row r="127" spans="1:1" x14ac:dyDescent="0.25">
      <c r="A127" s="378"/>
    </row>
    <row r="128" spans="1:1" x14ac:dyDescent="0.25">
      <c r="A128" s="378"/>
    </row>
    <row r="129" spans="1:1" x14ac:dyDescent="0.25">
      <c r="A129" s="378"/>
    </row>
    <row r="130" spans="1:1" x14ac:dyDescent="0.25">
      <c r="A130" s="378"/>
    </row>
    <row r="131" spans="1:1" x14ac:dyDescent="0.25">
      <c r="A131" s="378"/>
    </row>
    <row r="132" spans="1:1" x14ac:dyDescent="0.25">
      <c r="A132" s="378"/>
    </row>
    <row r="133" spans="1:1" x14ac:dyDescent="0.25">
      <c r="A133" s="378"/>
    </row>
    <row r="134" spans="1:1" x14ac:dyDescent="0.25">
      <c r="A134" s="378"/>
    </row>
    <row r="135" spans="1:1" x14ac:dyDescent="0.25">
      <c r="A135" s="378"/>
    </row>
    <row r="136" spans="1:1" x14ac:dyDescent="0.25">
      <c r="A136" s="378"/>
    </row>
    <row r="137" spans="1:1" x14ac:dyDescent="0.25">
      <c r="A137" s="378"/>
    </row>
    <row r="138" spans="1:1" x14ac:dyDescent="0.25">
      <c r="A138" s="378"/>
    </row>
    <row r="139" spans="1:1" x14ac:dyDescent="0.25">
      <c r="A139" s="378"/>
    </row>
    <row r="140" spans="1:1" x14ac:dyDescent="0.25">
      <c r="A140" s="378"/>
    </row>
    <row r="141" spans="1:1" x14ac:dyDescent="0.25">
      <c r="A141" s="378"/>
    </row>
    <row r="142" spans="1:1" x14ac:dyDescent="0.25">
      <c r="A142" s="378"/>
    </row>
    <row r="143" spans="1:1" x14ac:dyDescent="0.25">
      <c r="A143" s="378"/>
    </row>
    <row r="144" spans="1:1" x14ac:dyDescent="0.25">
      <c r="A144" s="378"/>
    </row>
    <row r="145" spans="1:1" x14ac:dyDescent="0.25">
      <c r="A145" s="378"/>
    </row>
    <row r="146" spans="1:1" x14ac:dyDescent="0.25">
      <c r="A146" s="378"/>
    </row>
    <row r="147" spans="1:1" x14ac:dyDescent="0.25">
      <c r="A147" s="378"/>
    </row>
    <row r="148" spans="1:1" x14ac:dyDescent="0.25">
      <c r="A148" s="378"/>
    </row>
    <row r="149" spans="1:1" x14ac:dyDescent="0.25">
      <c r="A149" s="378"/>
    </row>
    <row r="150" spans="1:1" x14ac:dyDescent="0.25">
      <c r="A150" s="378"/>
    </row>
    <row r="151" spans="1:1" x14ac:dyDescent="0.25">
      <c r="A151" s="378"/>
    </row>
    <row r="152" spans="1:1" x14ac:dyDescent="0.25">
      <c r="A152" s="378"/>
    </row>
    <row r="153" spans="1:1" x14ac:dyDescent="0.25">
      <c r="A153" s="378"/>
    </row>
    <row r="154" spans="1:1" x14ac:dyDescent="0.25">
      <c r="A154" s="378"/>
    </row>
    <row r="155" spans="1:1" x14ac:dyDescent="0.25">
      <c r="A155" s="378"/>
    </row>
    <row r="156" spans="1:1" x14ac:dyDescent="0.25">
      <c r="A156" s="378"/>
    </row>
    <row r="157" spans="1:1" x14ac:dyDescent="0.25">
      <c r="A157" s="378"/>
    </row>
    <row r="158" spans="1:1" x14ac:dyDescent="0.25">
      <c r="A158" s="378"/>
    </row>
    <row r="159" spans="1:1" x14ac:dyDescent="0.25">
      <c r="A159" s="378"/>
    </row>
    <row r="160" spans="1:1" x14ac:dyDescent="0.25">
      <c r="A160" s="378"/>
    </row>
    <row r="161" spans="1:1" x14ac:dyDescent="0.25">
      <c r="A161" s="378"/>
    </row>
    <row r="162" spans="1:1" x14ac:dyDescent="0.25">
      <c r="A162" s="378"/>
    </row>
    <row r="163" spans="1:1" x14ac:dyDescent="0.25">
      <c r="A163" s="378"/>
    </row>
    <row r="164" spans="1:1" x14ac:dyDescent="0.25">
      <c r="A164" s="378"/>
    </row>
    <row r="165" spans="1:1" x14ac:dyDescent="0.25">
      <c r="A165" s="378"/>
    </row>
    <row r="166" spans="1:1" x14ac:dyDescent="0.25">
      <c r="A166" s="378"/>
    </row>
    <row r="167" spans="1:1" x14ac:dyDescent="0.25">
      <c r="A167" s="378"/>
    </row>
    <row r="168" spans="1:1" x14ac:dyDescent="0.25">
      <c r="A168" s="378"/>
    </row>
    <row r="169" spans="1:1" x14ac:dyDescent="0.25">
      <c r="A169" s="378"/>
    </row>
    <row r="170" spans="1:1" x14ac:dyDescent="0.25">
      <c r="A170" s="378"/>
    </row>
    <row r="171" spans="1:1" x14ac:dyDescent="0.25">
      <c r="A171" s="378"/>
    </row>
    <row r="172" spans="1:1" x14ac:dyDescent="0.25">
      <c r="A172" s="378"/>
    </row>
    <row r="173" spans="1:1" x14ac:dyDescent="0.25">
      <c r="A173" s="378"/>
    </row>
    <row r="174" spans="1:1" x14ac:dyDescent="0.25">
      <c r="A174" s="378"/>
    </row>
    <row r="175" spans="1:1" x14ac:dyDescent="0.25">
      <c r="A175" s="378"/>
    </row>
    <row r="176" spans="1:1" x14ac:dyDescent="0.25">
      <c r="A176" s="378"/>
    </row>
    <row r="177" spans="1:1" x14ac:dyDescent="0.25">
      <c r="A177" s="378"/>
    </row>
    <row r="178" spans="1:1" x14ac:dyDescent="0.25">
      <c r="A178" s="378"/>
    </row>
    <row r="179" spans="1:1" x14ac:dyDescent="0.25">
      <c r="A179" s="378"/>
    </row>
    <row r="180" spans="1:1" x14ac:dyDescent="0.25">
      <c r="A180" s="378"/>
    </row>
    <row r="181" spans="1:1" x14ac:dyDescent="0.25">
      <c r="A181" s="378"/>
    </row>
    <row r="182" spans="1:1" x14ac:dyDescent="0.25">
      <c r="A182" s="378"/>
    </row>
    <row r="183" spans="1:1" x14ac:dyDescent="0.25">
      <c r="A183" s="378"/>
    </row>
    <row r="184" spans="1:1" x14ac:dyDescent="0.25">
      <c r="A184" s="378"/>
    </row>
    <row r="185" spans="1:1" x14ac:dyDescent="0.25">
      <c r="A185" s="378"/>
    </row>
    <row r="186" spans="1:1" x14ac:dyDescent="0.25">
      <c r="A186" s="378"/>
    </row>
    <row r="187" spans="1:1" x14ac:dyDescent="0.25">
      <c r="A187" s="378"/>
    </row>
    <row r="188" spans="1:1" x14ac:dyDescent="0.25">
      <c r="A188" s="378"/>
    </row>
    <row r="189" spans="1:1" x14ac:dyDescent="0.25">
      <c r="A189" s="378"/>
    </row>
    <row r="190" spans="1:1" x14ac:dyDescent="0.25">
      <c r="A190" s="378"/>
    </row>
    <row r="191" spans="1:1" x14ac:dyDescent="0.25">
      <c r="A191" s="378"/>
    </row>
    <row r="192" spans="1:1" x14ac:dyDescent="0.25">
      <c r="A192" s="378"/>
    </row>
    <row r="193" spans="1:1" x14ac:dyDescent="0.25">
      <c r="A193" s="378"/>
    </row>
    <row r="194" spans="1:1" x14ac:dyDescent="0.25">
      <c r="A194" s="378"/>
    </row>
    <row r="195" spans="1:1" x14ac:dyDescent="0.25">
      <c r="A195" s="378"/>
    </row>
    <row r="196" spans="1:1" x14ac:dyDescent="0.25">
      <c r="A196" s="378"/>
    </row>
    <row r="197" spans="1:1" x14ac:dyDescent="0.25">
      <c r="A197" s="378"/>
    </row>
    <row r="198" spans="1:1" x14ac:dyDescent="0.25">
      <c r="A198" s="378"/>
    </row>
    <row r="199" spans="1:1" x14ac:dyDescent="0.25">
      <c r="A199" s="378"/>
    </row>
    <row r="200" spans="1:1" x14ac:dyDescent="0.25">
      <c r="A200" s="378"/>
    </row>
    <row r="201" spans="1:1" x14ac:dyDescent="0.25">
      <c r="A201" s="378"/>
    </row>
    <row r="202" spans="1:1" x14ac:dyDescent="0.25">
      <c r="A202" s="378"/>
    </row>
    <row r="203" spans="1:1" x14ac:dyDescent="0.25">
      <c r="A203" s="378"/>
    </row>
    <row r="204" spans="1:1" x14ac:dyDescent="0.25">
      <c r="A204" s="378"/>
    </row>
    <row r="205" spans="1:1" x14ac:dyDescent="0.25">
      <c r="A205" s="378"/>
    </row>
    <row r="206" spans="1:1" x14ac:dyDescent="0.25">
      <c r="A206" s="378"/>
    </row>
    <row r="207" spans="1:1" x14ac:dyDescent="0.25">
      <c r="A207" s="378"/>
    </row>
    <row r="208" spans="1:1" x14ac:dyDescent="0.25">
      <c r="A208" s="378"/>
    </row>
    <row r="209" spans="1:1" x14ac:dyDescent="0.25">
      <c r="A209" s="378"/>
    </row>
    <row r="210" spans="1:1" x14ac:dyDescent="0.25">
      <c r="A210" s="378"/>
    </row>
    <row r="211" spans="1:1" x14ac:dyDescent="0.25">
      <c r="A211" s="378"/>
    </row>
    <row r="212" spans="1:1" x14ac:dyDescent="0.25">
      <c r="A212" s="378"/>
    </row>
    <row r="213" spans="1:1" x14ac:dyDescent="0.25">
      <c r="A213" s="378"/>
    </row>
    <row r="214" spans="1:1" x14ac:dyDescent="0.25">
      <c r="A214" s="378"/>
    </row>
    <row r="215" spans="1:1" x14ac:dyDescent="0.25">
      <c r="A215" s="378"/>
    </row>
    <row r="216" spans="1:1" x14ac:dyDescent="0.25">
      <c r="A216" s="378"/>
    </row>
    <row r="217" spans="1:1" x14ac:dyDescent="0.25">
      <c r="A217" s="378"/>
    </row>
    <row r="218" spans="1:1" x14ac:dyDescent="0.25">
      <c r="A218" s="378"/>
    </row>
    <row r="219" spans="1:1" x14ac:dyDescent="0.25">
      <c r="A219" s="378"/>
    </row>
    <row r="220" spans="1:1" x14ac:dyDescent="0.25">
      <c r="A220" s="378"/>
    </row>
    <row r="221" spans="1:1" x14ac:dyDescent="0.25">
      <c r="A221" s="378"/>
    </row>
    <row r="222" spans="1:1" x14ac:dyDescent="0.25">
      <c r="A222" s="378"/>
    </row>
    <row r="223" spans="1:1" x14ac:dyDescent="0.25">
      <c r="A223" s="378"/>
    </row>
    <row r="224" spans="1:1" x14ac:dyDescent="0.25">
      <c r="A224" s="378"/>
    </row>
    <row r="225" spans="1:1" x14ac:dyDescent="0.25">
      <c r="A225" s="378"/>
    </row>
    <row r="226" spans="1:1" x14ac:dyDescent="0.25">
      <c r="A226" s="378"/>
    </row>
    <row r="227" spans="1:1" x14ac:dyDescent="0.25">
      <c r="A227" s="378"/>
    </row>
    <row r="228" spans="1:1" x14ac:dyDescent="0.25">
      <c r="A228" s="378"/>
    </row>
    <row r="229" spans="1:1" x14ac:dyDescent="0.25">
      <c r="A229" s="378"/>
    </row>
    <row r="230" spans="1:1" x14ac:dyDescent="0.25">
      <c r="A230" s="378"/>
    </row>
    <row r="231" spans="1:1" x14ac:dyDescent="0.25">
      <c r="A231" s="378"/>
    </row>
    <row r="232" spans="1:1" x14ac:dyDescent="0.25">
      <c r="A232" s="378"/>
    </row>
    <row r="233" spans="1:1" x14ac:dyDescent="0.25">
      <c r="A233" s="378"/>
    </row>
    <row r="234" spans="1:1" x14ac:dyDescent="0.25">
      <c r="A234" s="378"/>
    </row>
    <row r="235" spans="1:1" x14ac:dyDescent="0.25">
      <c r="A235" s="378"/>
    </row>
    <row r="236" spans="1:1" x14ac:dyDescent="0.25">
      <c r="A236" s="378"/>
    </row>
    <row r="237" spans="1:1" x14ac:dyDescent="0.25">
      <c r="A237" s="378"/>
    </row>
    <row r="238" spans="1:1" x14ac:dyDescent="0.25">
      <c r="A238" s="378"/>
    </row>
    <row r="239" spans="1:1" x14ac:dyDescent="0.25">
      <c r="A239" s="378"/>
    </row>
    <row r="240" spans="1:1" x14ac:dyDescent="0.25">
      <c r="A240" s="378"/>
    </row>
    <row r="241" spans="1:1" x14ac:dyDescent="0.25">
      <c r="A241" s="378"/>
    </row>
    <row r="242" spans="1:1" x14ac:dyDescent="0.25">
      <c r="A242" s="378"/>
    </row>
    <row r="243" spans="1:1" x14ac:dyDescent="0.25">
      <c r="A243" s="378"/>
    </row>
    <row r="244" spans="1:1" x14ac:dyDescent="0.25">
      <c r="A244" s="378"/>
    </row>
    <row r="245" spans="1:1" x14ac:dyDescent="0.25">
      <c r="A245" s="378"/>
    </row>
    <row r="246" spans="1:1" x14ac:dyDescent="0.25">
      <c r="A246" s="378"/>
    </row>
    <row r="247" spans="1:1" x14ac:dyDescent="0.25">
      <c r="A247" s="378"/>
    </row>
    <row r="248" spans="1:1" x14ac:dyDescent="0.25">
      <c r="A248" s="378"/>
    </row>
    <row r="249" spans="1:1" x14ac:dyDescent="0.25">
      <c r="A249" s="378"/>
    </row>
    <row r="250" spans="1:1" x14ac:dyDescent="0.25">
      <c r="A250" s="378"/>
    </row>
    <row r="251" spans="1:1" x14ac:dyDescent="0.25">
      <c r="A251" s="378"/>
    </row>
    <row r="252" spans="1:1" x14ac:dyDescent="0.25">
      <c r="A252" s="378"/>
    </row>
    <row r="253" spans="1:1" x14ac:dyDescent="0.25">
      <c r="A253" s="378"/>
    </row>
    <row r="254" spans="1:1" x14ac:dyDescent="0.25">
      <c r="A254" s="378"/>
    </row>
    <row r="255" spans="1:1" x14ac:dyDescent="0.25">
      <c r="A255" s="378"/>
    </row>
    <row r="256" spans="1:1" x14ac:dyDescent="0.25">
      <c r="A256" s="378"/>
    </row>
    <row r="257" spans="1:1" x14ac:dyDescent="0.25">
      <c r="A257" s="378"/>
    </row>
    <row r="258" spans="1:1" x14ac:dyDescent="0.25">
      <c r="A258" s="378"/>
    </row>
    <row r="259" spans="1:1" x14ac:dyDescent="0.25">
      <c r="A259" s="378"/>
    </row>
    <row r="260" spans="1:1" x14ac:dyDescent="0.25">
      <c r="A260" s="378"/>
    </row>
    <row r="261" spans="1:1" x14ac:dyDescent="0.25">
      <c r="A261" s="378"/>
    </row>
    <row r="262" spans="1:1" x14ac:dyDescent="0.25">
      <c r="A262" s="378"/>
    </row>
    <row r="263" spans="1:1" x14ac:dyDescent="0.25">
      <c r="A263" s="378"/>
    </row>
    <row r="264" spans="1:1" x14ac:dyDescent="0.25">
      <c r="A264" s="378"/>
    </row>
    <row r="265" spans="1:1" x14ac:dyDescent="0.25">
      <c r="A265" s="378"/>
    </row>
    <row r="266" spans="1:1" x14ac:dyDescent="0.25">
      <c r="A266" s="378"/>
    </row>
    <row r="267" spans="1:1" x14ac:dyDescent="0.25">
      <c r="A267" s="378"/>
    </row>
    <row r="268" spans="1:1" x14ac:dyDescent="0.25">
      <c r="A268" s="378"/>
    </row>
    <row r="269" spans="1:1" x14ac:dyDescent="0.25">
      <c r="A269" s="378"/>
    </row>
    <row r="270" spans="1:1" x14ac:dyDescent="0.25">
      <c r="A270" s="378"/>
    </row>
    <row r="271" spans="1:1" x14ac:dyDescent="0.25">
      <c r="A271" s="378"/>
    </row>
    <row r="272" spans="1:1" x14ac:dyDescent="0.25">
      <c r="A272" s="378"/>
    </row>
    <row r="273" spans="1:1" x14ac:dyDescent="0.25">
      <c r="A273" s="378"/>
    </row>
    <row r="274" spans="1:1" x14ac:dyDescent="0.25">
      <c r="A274" s="378"/>
    </row>
    <row r="275" spans="1:1" x14ac:dyDescent="0.25">
      <c r="A275" s="378"/>
    </row>
    <row r="276" spans="1:1" x14ac:dyDescent="0.25">
      <c r="A276" s="378"/>
    </row>
    <row r="277" spans="1:1" x14ac:dyDescent="0.25">
      <c r="A277" s="378"/>
    </row>
    <row r="278" spans="1:1" x14ac:dyDescent="0.25">
      <c r="A278" s="378"/>
    </row>
    <row r="279" spans="1:1" x14ac:dyDescent="0.25">
      <c r="A279" s="378"/>
    </row>
    <row r="280" spans="1:1" x14ac:dyDescent="0.25">
      <c r="A280" s="378"/>
    </row>
    <row r="281" spans="1:1" x14ac:dyDescent="0.25">
      <c r="A281" s="378"/>
    </row>
    <row r="282" spans="1:1" x14ac:dyDescent="0.25">
      <c r="A282" s="378"/>
    </row>
    <row r="283" spans="1:1" x14ac:dyDescent="0.25">
      <c r="A283" s="378"/>
    </row>
    <row r="284" spans="1:1" x14ac:dyDescent="0.25">
      <c r="A284" s="378"/>
    </row>
    <row r="285" spans="1:1" x14ac:dyDescent="0.25">
      <c r="A285" s="378"/>
    </row>
    <row r="286" spans="1:1" x14ac:dyDescent="0.25">
      <c r="A286" s="378"/>
    </row>
    <row r="287" spans="1:1" x14ac:dyDescent="0.25">
      <c r="A287" s="378"/>
    </row>
    <row r="288" spans="1:1" x14ac:dyDescent="0.25">
      <c r="A288" s="378"/>
    </row>
    <row r="289" spans="1:1" x14ac:dyDescent="0.25">
      <c r="A289" s="378"/>
    </row>
    <row r="290" spans="1:1" x14ac:dyDescent="0.25">
      <c r="A290" s="378"/>
    </row>
    <row r="291" spans="1:1" x14ac:dyDescent="0.25">
      <c r="A291" s="378"/>
    </row>
    <row r="292" spans="1:1" x14ac:dyDescent="0.25">
      <c r="A292" s="378"/>
    </row>
  </sheetData>
  <mergeCells count="11">
    <mergeCell ref="A1:D1"/>
    <mergeCell ref="C5:D5"/>
    <mergeCell ref="A7:D7"/>
    <mergeCell ref="A21:D21"/>
    <mergeCell ref="B2:D2"/>
    <mergeCell ref="A24:D24"/>
    <mergeCell ref="A23:D23"/>
    <mergeCell ref="A6:D6"/>
    <mergeCell ref="A20:B20"/>
    <mergeCell ref="A8:D8"/>
    <mergeCell ref="A22:D22"/>
  </mergeCells>
  <phoneticPr fontId="14" type="noConversion"/>
  <printOptions horizontalCentered="1"/>
  <pageMargins left="0.25" right="0.25" top="0.75" bottom="0.75" header="0.3" footer="0.3"/>
  <pageSetup paperSize="9" fitToHeight="0" orientation="landscape" verticalDpi="300" r:id="rId1"/>
  <headerFooter alignWithMargins="0">
    <oddFooter>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20"/>
  <sheetViews>
    <sheetView view="pageBreakPreview" zoomScale="75" zoomScaleNormal="75" zoomScaleSheetLayoutView="75" workbookViewId="0">
      <selection activeCell="J9" sqref="J9:K10"/>
    </sheetView>
  </sheetViews>
  <sheetFormatPr defaultColWidth="9.140625" defaultRowHeight="14.25" customHeight="1" x14ac:dyDescent="0.2"/>
  <cols>
    <col min="1" max="1" width="8.85546875" style="8" customWidth="1"/>
    <col min="2" max="3" width="22.28515625" style="11" customWidth="1"/>
    <col min="4" max="4" width="93.140625" style="8" customWidth="1"/>
    <col min="5" max="5" width="6.42578125" style="8" bestFit="1" customWidth="1"/>
    <col min="6" max="6" width="20.7109375" style="8" hidden="1" customWidth="1"/>
    <col min="7" max="7" width="15.7109375" style="8" customWidth="1"/>
    <col min="8" max="8" width="13.42578125" style="261" hidden="1" customWidth="1"/>
    <col min="9" max="9" width="10.5703125" style="8" hidden="1" customWidth="1"/>
    <col min="10" max="10" width="13.7109375" style="8" customWidth="1"/>
    <col min="11" max="11" width="18.85546875" style="8" customWidth="1"/>
    <col min="12" max="12" width="10.85546875" style="8" hidden="1" customWidth="1"/>
    <col min="13" max="13" width="11.5703125" style="62" customWidth="1"/>
    <col min="14" max="14" width="11" style="8" customWidth="1"/>
    <col min="15" max="15" width="14.85546875" style="62" customWidth="1"/>
    <col min="16" max="16" width="11.5703125" style="62" hidden="1" customWidth="1"/>
    <col min="17" max="17" width="11" style="8" hidden="1" customWidth="1"/>
    <col min="18" max="18" width="13.85546875" style="62" hidden="1" customWidth="1"/>
    <col min="19" max="19" width="11.5703125" style="62" hidden="1" customWidth="1"/>
    <col min="20" max="20" width="11" style="8" hidden="1" customWidth="1"/>
    <col min="21" max="21" width="13.85546875" style="62" hidden="1" customWidth="1"/>
    <col min="22" max="22" width="11.5703125" style="62" hidden="1" customWidth="1"/>
    <col min="23" max="23" width="11" style="8" hidden="1" customWidth="1"/>
    <col min="24" max="24" width="13.85546875" style="62" hidden="1" customWidth="1"/>
    <col min="25" max="25" width="11.5703125" style="62" hidden="1" customWidth="1"/>
    <col min="26" max="26" width="11" style="8" hidden="1" customWidth="1"/>
    <col min="27" max="27" width="13.85546875" style="62" hidden="1" customWidth="1"/>
    <col min="28" max="28" width="11.5703125" style="62" hidden="1" customWidth="1"/>
    <col min="29" max="29" width="11" style="8" hidden="1" customWidth="1"/>
    <col min="30" max="30" width="13.85546875" style="62" hidden="1" customWidth="1"/>
    <col min="31" max="31" width="11.5703125" style="62" hidden="1" customWidth="1"/>
    <col min="32" max="32" width="11" style="8" hidden="1" customWidth="1"/>
    <col min="33" max="33" width="13.85546875" style="62" hidden="1" customWidth="1"/>
    <col min="34" max="34" width="11.5703125" style="62" hidden="1" customWidth="1"/>
    <col min="35" max="35" width="11" style="8" hidden="1" customWidth="1"/>
    <col min="36" max="36" width="13.85546875" style="62" hidden="1" customWidth="1"/>
    <col min="37" max="37" width="11.5703125" style="62" hidden="1" customWidth="1"/>
    <col min="38" max="38" width="11" style="8" hidden="1" customWidth="1"/>
    <col min="39" max="39" width="13.85546875" style="62" hidden="1" customWidth="1"/>
    <col min="40" max="40" width="11.5703125" style="62" hidden="1" customWidth="1"/>
    <col min="41" max="41" width="11" style="8" hidden="1" customWidth="1"/>
    <col min="42" max="42" width="13.85546875" style="62" hidden="1" customWidth="1"/>
    <col min="43" max="43" width="11.5703125" style="62" hidden="1" customWidth="1"/>
    <col min="44" max="44" width="11" style="8" hidden="1" customWidth="1"/>
    <col min="45" max="45" width="13.85546875" style="62" hidden="1" customWidth="1"/>
    <col min="46" max="46" width="11.5703125" style="62" hidden="1" customWidth="1"/>
    <col min="47" max="47" width="11" style="8" hidden="1" customWidth="1"/>
    <col min="48" max="48" width="13.85546875" style="62" hidden="1" customWidth="1"/>
    <col min="49" max="49" width="11.140625" style="62" customWidth="1"/>
    <col min="50" max="50" width="9.140625" style="62"/>
    <col min="51" max="51" width="13.85546875" style="62" customWidth="1"/>
    <col min="52" max="52" width="11.85546875" style="62" customWidth="1"/>
    <col min="53" max="53" width="11.5703125" style="62" customWidth="1"/>
    <col min="54" max="54" width="14.42578125" style="62" customWidth="1"/>
    <col min="55" max="56" width="7.85546875" style="8" customWidth="1"/>
    <col min="57" max="57" width="18.140625" style="8" customWidth="1"/>
    <col min="58" max="58" width="13.85546875" style="8" customWidth="1"/>
    <col min="59" max="60" width="12.85546875" style="8" bestFit="1" customWidth="1"/>
    <col min="61" max="61" width="12.85546875" style="8" customWidth="1"/>
    <col min="62" max="62" width="11.42578125" style="8" customWidth="1"/>
    <col min="63" max="16384" width="9.140625" style="8"/>
  </cols>
  <sheetData>
    <row r="1" spans="1:64" s="6" customFormat="1" ht="19.5" customHeight="1" x14ac:dyDescent="0.25">
      <c r="A1" s="1" t="s">
        <v>56</v>
      </c>
      <c r="B1" s="5"/>
      <c r="C1" s="5"/>
      <c r="D1" s="4"/>
      <c r="H1" s="246"/>
      <c r="M1" s="62"/>
      <c r="O1" s="62"/>
      <c r="P1" s="62"/>
      <c r="R1" s="62"/>
      <c r="S1" s="62"/>
      <c r="U1" s="62"/>
      <c r="V1" s="62"/>
      <c r="X1" s="62"/>
      <c r="Y1" s="62"/>
      <c r="AA1" s="62"/>
      <c r="AB1" s="62"/>
      <c r="AD1" s="62"/>
      <c r="AE1" s="62"/>
      <c r="AG1" s="62"/>
      <c r="AH1" s="62"/>
      <c r="AJ1" s="62"/>
      <c r="AK1" s="62"/>
      <c r="AM1" s="62"/>
      <c r="AN1" s="62"/>
      <c r="AP1" s="62"/>
      <c r="AQ1" s="62"/>
      <c r="AS1" s="62"/>
      <c r="AT1" s="62"/>
      <c r="AV1" s="62"/>
      <c r="AW1" s="62"/>
      <c r="AX1" s="62"/>
      <c r="AY1" s="62"/>
      <c r="AZ1" s="62"/>
      <c r="BA1" s="62"/>
      <c r="BB1" s="62"/>
    </row>
    <row r="2" spans="1:64" ht="19.5" customHeight="1" x14ac:dyDescent="0.25">
      <c r="A2" s="2" t="s">
        <v>1</v>
      </c>
      <c r="B2" s="4"/>
      <c r="C2" s="4"/>
      <c r="D2" s="4"/>
      <c r="E2" s="6"/>
      <c r="F2" s="6"/>
      <c r="G2" s="6"/>
      <c r="H2" s="246"/>
      <c r="I2" s="6"/>
      <c r="J2" s="6"/>
      <c r="K2" s="6"/>
      <c r="L2" s="6"/>
      <c r="N2" s="6"/>
      <c r="Q2" s="6"/>
      <c r="T2" s="6"/>
      <c r="W2" s="6"/>
      <c r="Z2" s="6"/>
      <c r="AC2" s="6"/>
      <c r="AF2" s="6"/>
      <c r="AI2" s="6"/>
      <c r="AL2" s="6"/>
      <c r="AO2" s="6"/>
      <c r="AR2" s="6"/>
      <c r="AU2" s="6"/>
      <c r="BC2" s="6"/>
      <c r="BD2" s="6"/>
      <c r="BE2" s="6"/>
      <c r="BF2" s="6"/>
      <c r="BG2" s="6"/>
      <c r="BH2" s="6"/>
      <c r="BI2" s="6"/>
      <c r="BJ2" s="6"/>
      <c r="BK2" s="6"/>
      <c r="BL2" s="6"/>
    </row>
    <row r="3" spans="1:64" s="6" customFormat="1" ht="19.5" customHeight="1" x14ac:dyDescent="0.25">
      <c r="A3" s="2" t="s">
        <v>2</v>
      </c>
      <c r="B3" s="4"/>
      <c r="C3" s="4"/>
      <c r="D3" s="4"/>
      <c r="H3" s="246"/>
      <c r="M3" s="62"/>
      <c r="O3" s="62"/>
      <c r="P3" s="62"/>
      <c r="R3" s="62"/>
      <c r="S3" s="62"/>
      <c r="U3" s="62"/>
      <c r="V3" s="62"/>
      <c r="X3" s="62"/>
      <c r="Y3" s="62"/>
      <c r="AA3" s="62"/>
      <c r="AB3" s="62"/>
      <c r="AD3" s="62"/>
      <c r="AE3" s="62"/>
      <c r="AG3" s="62"/>
      <c r="AH3" s="62"/>
      <c r="AJ3" s="62"/>
      <c r="AK3" s="62"/>
      <c r="AM3" s="62"/>
      <c r="AN3" s="62"/>
      <c r="AP3" s="62"/>
      <c r="AQ3" s="62"/>
      <c r="AS3" s="62"/>
      <c r="AT3" s="62"/>
      <c r="AV3" s="62"/>
      <c r="AW3" s="62"/>
      <c r="AX3" s="62"/>
      <c r="AY3" s="62"/>
      <c r="AZ3" s="62"/>
      <c r="BA3" s="62"/>
      <c r="BB3" s="62"/>
    </row>
    <row r="4" spans="1:64" ht="19.5" customHeight="1" x14ac:dyDescent="0.25">
      <c r="A4" s="1" t="s">
        <v>3</v>
      </c>
      <c r="B4" s="5"/>
      <c r="C4" s="5"/>
      <c r="D4" s="4"/>
      <c r="E4" s="654" t="s">
        <v>43</v>
      </c>
      <c r="F4" s="654"/>
      <c r="G4" s="654"/>
      <c r="H4" s="246"/>
      <c r="I4" s="6"/>
      <c r="J4" s="6"/>
      <c r="K4" s="6"/>
      <c r="L4" s="6"/>
      <c r="N4" s="6"/>
      <c r="Q4" s="6"/>
      <c r="T4" s="6"/>
      <c r="W4" s="6"/>
      <c r="Z4" s="6"/>
      <c r="AC4" s="6"/>
      <c r="AF4" s="6"/>
      <c r="AI4" s="6"/>
      <c r="AL4" s="6"/>
      <c r="AO4" s="6"/>
      <c r="AR4" s="6"/>
      <c r="AU4" s="6"/>
      <c r="BC4" s="6"/>
      <c r="BD4" s="6"/>
      <c r="BE4" s="6"/>
      <c r="BF4" s="6"/>
      <c r="BG4" s="6"/>
      <c r="BH4" s="6"/>
      <c r="BI4" s="6"/>
      <c r="BJ4" s="6"/>
      <c r="BK4" s="6"/>
      <c r="BL4" s="6"/>
    </row>
    <row r="5" spans="1:64" ht="15.75" customHeight="1" x14ac:dyDescent="0.25">
      <c r="A5" s="1" t="s">
        <v>4</v>
      </c>
      <c r="B5" s="5"/>
      <c r="C5" s="5"/>
      <c r="D5" s="4"/>
      <c r="E5" s="658" t="e">
        <f>RESUMO!#REF!</f>
        <v>#REF!</v>
      </c>
      <c r="F5" s="658"/>
      <c r="G5" s="658"/>
      <c r="H5" s="658"/>
      <c r="I5" s="658"/>
      <c r="J5" s="658"/>
      <c r="K5" s="658"/>
      <c r="L5" s="191"/>
      <c r="M5" s="219"/>
      <c r="N5" s="6"/>
      <c r="Q5" s="6"/>
      <c r="T5" s="6"/>
      <c r="W5" s="6"/>
      <c r="Z5" s="6"/>
      <c r="AC5" s="6"/>
      <c r="AF5" s="6"/>
      <c r="AI5" s="6"/>
      <c r="AL5" s="6"/>
      <c r="AO5" s="6"/>
      <c r="AR5" s="6"/>
      <c r="AU5" s="6"/>
      <c r="BC5" s="6"/>
      <c r="BD5" s="6"/>
      <c r="BE5" s="6"/>
      <c r="BF5" s="6"/>
      <c r="BG5" s="6"/>
      <c r="BH5" s="6"/>
      <c r="BI5" s="6"/>
      <c r="BJ5" s="6"/>
      <c r="BK5" s="6"/>
      <c r="BL5" s="6"/>
    </row>
    <row r="6" spans="1:64" ht="21.75" customHeight="1" x14ac:dyDescent="0.25">
      <c r="A6" s="1" t="e">
        <f>RESUMO!#REF!</f>
        <v>#REF!</v>
      </c>
      <c r="B6" s="5"/>
      <c r="C6" s="5"/>
      <c r="D6" s="5"/>
      <c r="E6" s="658"/>
      <c r="F6" s="658"/>
      <c r="G6" s="658"/>
      <c r="H6" s="658"/>
      <c r="I6" s="658"/>
      <c r="J6" s="658"/>
      <c r="K6" s="658"/>
      <c r="L6" s="191"/>
      <c r="N6" s="6"/>
      <c r="Q6" s="6"/>
      <c r="T6" s="6"/>
      <c r="W6" s="6"/>
      <c r="Z6" s="6"/>
      <c r="AC6" s="6"/>
      <c r="AF6" s="6"/>
      <c r="AI6" s="6"/>
      <c r="AL6" s="6"/>
      <c r="AO6" s="6"/>
      <c r="AR6" s="6"/>
      <c r="AU6" s="6"/>
      <c r="AW6" s="6"/>
      <c r="AX6" s="6"/>
      <c r="AY6" s="6"/>
      <c r="BC6" s="6"/>
      <c r="BD6" s="6"/>
      <c r="BE6" s="6"/>
      <c r="BF6" s="6"/>
      <c r="BG6" s="6"/>
      <c r="BH6" s="6"/>
      <c r="BI6" s="6"/>
      <c r="BJ6" s="6"/>
      <c r="BK6" s="6"/>
      <c r="BL6" s="6"/>
    </row>
    <row r="7" spans="1:64" ht="21.75" customHeight="1" x14ac:dyDescent="0.25">
      <c r="A7" s="1" t="e">
        <f>RESUMO!#REF!</f>
        <v>#REF!</v>
      </c>
      <c r="B7" s="5"/>
      <c r="C7" s="5"/>
      <c r="D7" s="5"/>
      <c r="E7" s="658"/>
      <c r="F7" s="658"/>
      <c r="G7" s="658"/>
      <c r="H7" s="658"/>
      <c r="I7" s="658"/>
      <c r="J7" s="658"/>
      <c r="K7" s="658"/>
      <c r="L7" s="191"/>
      <c r="N7" s="403"/>
      <c r="Q7" s="6"/>
      <c r="T7" s="6"/>
      <c r="W7" s="6"/>
      <c r="Z7" s="6"/>
      <c r="AC7" s="6"/>
      <c r="AF7" s="6"/>
      <c r="AI7" s="6"/>
      <c r="AL7" s="6"/>
      <c r="AO7" s="6"/>
      <c r="AR7" s="6"/>
      <c r="AU7" s="6"/>
      <c r="AW7" s="6"/>
      <c r="AX7" s="6"/>
      <c r="AY7" s="6"/>
      <c r="BC7" s="6"/>
      <c r="BD7" s="6"/>
      <c r="BE7" s="6"/>
      <c r="BF7" s="6"/>
      <c r="BG7" s="6"/>
      <c r="BH7" s="6"/>
      <c r="BI7" s="6"/>
      <c r="BJ7" s="6"/>
      <c r="BK7" s="6"/>
      <c r="BL7" s="6"/>
    </row>
    <row r="8" spans="1:64" ht="18.75" thickBot="1" x14ac:dyDescent="0.3">
      <c r="A8" s="1" t="str">
        <f>RESUMO!A7</f>
        <v xml:space="preserve">RESUMO DA PLANILHA ORÇAMENTARIA </v>
      </c>
      <c r="B8" s="9"/>
      <c r="C8" s="9"/>
      <c r="D8" s="10"/>
      <c r="E8" s="64" t="s">
        <v>45</v>
      </c>
      <c r="F8" s="337"/>
      <c r="G8" s="659">
        <v>0.2581</v>
      </c>
      <c r="H8" s="659"/>
      <c r="I8" s="21"/>
      <c r="J8" s="64" t="s">
        <v>57</v>
      </c>
      <c r="K8" s="233">
        <v>0</v>
      </c>
      <c r="L8" s="21"/>
      <c r="N8" s="6"/>
      <c r="Q8" s="6"/>
      <c r="T8" s="6"/>
      <c r="W8" s="6"/>
      <c r="Z8" s="6"/>
      <c r="AC8" s="6"/>
      <c r="AF8" s="6"/>
      <c r="AI8" s="6"/>
      <c r="AL8" s="6"/>
      <c r="AO8" s="6"/>
      <c r="AR8" s="6"/>
      <c r="AU8" s="6"/>
      <c r="BC8" s="6"/>
      <c r="BD8" s="666" t="s">
        <v>58</v>
      </c>
      <c r="BE8" s="666"/>
      <c r="BF8" s="666"/>
      <c r="BG8" s="666"/>
      <c r="BH8" s="666"/>
      <c r="BI8" s="666"/>
      <c r="BJ8" s="666"/>
      <c r="BK8" s="666"/>
      <c r="BL8" s="666"/>
    </row>
    <row r="9" spans="1:64" ht="16.5" customHeight="1" thickBot="1" x14ac:dyDescent="0.25">
      <c r="A9" s="645" t="s">
        <v>13</v>
      </c>
      <c r="B9" s="655" t="s">
        <v>59</v>
      </c>
      <c r="C9" s="655" t="s">
        <v>60</v>
      </c>
      <c r="D9" s="645" t="s">
        <v>61</v>
      </c>
      <c r="E9" s="655" t="s">
        <v>62</v>
      </c>
      <c r="F9" s="655" t="s">
        <v>63</v>
      </c>
      <c r="G9" s="660" t="s">
        <v>64</v>
      </c>
      <c r="H9" s="664"/>
      <c r="I9" s="661"/>
      <c r="J9" s="660" t="s">
        <v>65</v>
      </c>
      <c r="K9" s="661"/>
      <c r="L9" s="196"/>
      <c r="M9" s="649" t="s">
        <v>66</v>
      </c>
      <c r="N9" s="649"/>
      <c r="O9" s="649"/>
      <c r="P9" s="649" t="s">
        <v>67</v>
      </c>
      <c r="Q9" s="649"/>
      <c r="R9" s="649"/>
      <c r="S9" s="649" t="s">
        <v>68</v>
      </c>
      <c r="T9" s="649"/>
      <c r="U9" s="649"/>
      <c r="V9" s="649" t="s">
        <v>69</v>
      </c>
      <c r="W9" s="649"/>
      <c r="X9" s="649"/>
      <c r="Y9" s="649" t="s">
        <v>70</v>
      </c>
      <c r="Z9" s="649"/>
      <c r="AA9" s="649"/>
      <c r="AB9" s="649" t="s">
        <v>71</v>
      </c>
      <c r="AC9" s="649"/>
      <c r="AD9" s="649"/>
      <c r="AE9" s="649" t="s">
        <v>72</v>
      </c>
      <c r="AF9" s="649"/>
      <c r="AG9" s="649"/>
      <c r="AH9" s="649" t="s">
        <v>73</v>
      </c>
      <c r="AI9" s="649"/>
      <c r="AJ9" s="649"/>
      <c r="AK9" s="649" t="s">
        <v>74</v>
      </c>
      <c r="AL9" s="649"/>
      <c r="AM9" s="649"/>
      <c r="AN9" s="649" t="s">
        <v>75</v>
      </c>
      <c r="AO9" s="649"/>
      <c r="AP9" s="649"/>
      <c r="AQ9" s="649" t="s">
        <v>76</v>
      </c>
      <c r="AR9" s="649"/>
      <c r="AS9" s="649"/>
      <c r="AT9" s="649" t="s">
        <v>77</v>
      </c>
      <c r="AU9" s="649"/>
      <c r="AV9" s="649"/>
      <c r="AW9" s="649" t="s">
        <v>78</v>
      </c>
      <c r="AX9" s="649"/>
      <c r="AY9" s="649"/>
      <c r="AZ9" s="649" t="s">
        <v>79</v>
      </c>
      <c r="BA9" s="649"/>
      <c r="BB9" s="649"/>
      <c r="BC9" s="6"/>
      <c r="BD9" s="667" t="s">
        <v>80</v>
      </c>
      <c r="BE9" s="667" t="s">
        <v>81</v>
      </c>
      <c r="BF9" s="404" t="s">
        <v>82</v>
      </c>
      <c r="BG9" s="404" t="s">
        <v>83</v>
      </c>
      <c r="BH9" s="404" t="s">
        <v>84</v>
      </c>
      <c r="BI9" s="404" t="s">
        <v>85</v>
      </c>
      <c r="BJ9" s="404"/>
      <c r="BK9" s="404"/>
      <c r="BL9" s="404"/>
    </row>
    <row r="10" spans="1:64" ht="15.75" customHeight="1" thickBot="1" x14ac:dyDescent="0.25">
      <c r="A10" s="646"/>
      <c r="B10" s="656"/>
      <c r="C10" s="656"/>
      <c r="D10" s="646"/>
      <c r="E10" s="656"/>
      <c r="F10" s="656"/>
      <c r="G10" s="662"/>
      <c r="H10" s="665"/>
      <c r="I10" s="663"/>
      <c r="J10" s="662"/>
      <c r="K10" s="663"/>
      <c r="L10" s="197"/>
      <c r="M10" s="651" t="s">
        <v>86</v>
      </c>
      <c r="N10" s="650" t="s">
        <v>87</v>
      </c>
      <c r="O10" s="390" t="s">
        <v>88</v>
      </c>
      <c r="P10" s="651" t="s">
        <v>86</v>
      </c>
      <c r="Q10" s="650" t="s">
        <v>87</v>
      </c>
      <c r="R10" s="390" t="s">
        <v>88</v>
      </c>
      <c r="S10" s="651" t="s">
        <v>86</v>
      </c>
      <c r="T10" s="650" t="s">
        <v>87</v>
      </c>
      <c r="U10" s="390" t="s">
        <v>88</v>
      </c>
      <c r="V10" s="651" t="s">
        <v>86</v>
      </c>
      <c r="W10" s="650" t="s">
        <v>87</v>
      </c>
      <c r="X10" s="390" t="s">
        <v>88</v>
      </c>
      <c r="Y10" s="651" t="s">
        <v>86</v>
      </c>
      <c r="Z10" s="650" t="s">
        <v>87</v>
      </c>
      <c r="AA10" s="390" t="s">
        <v>88</v>
      </c>
      <c r="AB10" s="651" t="s">
        <v>86</v>
      </c>
      <c r="AC10" s="650" t="s">
        <v>87</v>
      </c>
      <c r="AD10" s="390" t="s">
        <v>88</v>
      </c>
      <c r="AE10" s="651" t="s">
        <v>86</v>
      </c>
      <c r="AF10" s="650" t="s">
        <v>87</v>
      </c>
      <c r="AG10" s="390" t="s">
        <v>88</v>
      </c>
      <c r="AH10" s="651" t="s">
        <v>86</v>
      </c>
      <c r="AI10" s="650" t="s">
        <v>87</v>
      </c>
      <c r="AJ10" s="390" t="s">
        <v>88</v>
      </c>
      <c r="AK10" s="651" t="s">
        <v>86</v>
      </c>
      <c r="AL10" s="650" t="s">
        <v>87</v>
      </c>
      <c r="AM10" s="390" t="s">
        <v>88</v>
      </c>
      <c r="AN10" s="651" t="s">
        <v>86</v>
      </c>
      <c r="AO10" s="650" t="s">
        <v>87</v>
      </c>
      <c r="AP10" s="390" t="s">
        <v>88</v>
      </c>
      <c r="AQ10" s="651" t="s">
        <v>86</v>
      </c>
      <c r="AR10" s="650" t="s">
        <v>87</v>
      </c>
      <c r="AS10" s="390" t="s">
        <v>88</v>
      </c>
      <c r="AT10" s="651" t="s">
        <v>86</v>
      </c>
      <c r="AU10" s="650" t="s">
        <v>87</v>
      </c>
      <c r="AV10" s="390" t="s">
        <v>88</v>
      </c>
      <c r="AW10" s="651" t="s">
        <v>86</v>
      </c>
      <c r="AX10" s="650" t="s">
        <v>87</v>
      </c>
      <c r="AY10" s="390" t="s">
        <v>88</v>
      </c>
      <c r="AZ10" s="651" t="s">
        <v>86</v>
      </c>
      <c r="BA10" s="650" t="s">
        <v>87</v>
      </c>
      <c r="BB10" s="390" t="s">
        <v>88</v>
      </c>
      <c r="BC10" s="6"/>
      <c r="BD10" s="668"/>
      <c r="BE10" s="668"/>
      <c r="BF10" s="404"/>
      <c r="BG10" s="404"/>
      <c r="BH10" s="404"/>
      <c r="BI10" s="404"/>
      <c r="BJ10" s="404"/>
      <c r="BK10" s="404"/>
      <c r="BL10" s="404"/>
    </row>
    <row r="11" spans="1:64" ht="16.5" thickBot="1" x14ac:dyDescent="0.3">
      <c r="A11" s="647"/>
      <c r="B11" s="657"/>
      <c r="C11" s="657"/>
      <c r="D11" s="647"/>
      <c r="E11" s="657"/>
      <c r="F11" s="657"/>
      <c r="G11" s="394" t="s">
        <v>89</v>
      </c>
      <c r="H11" s="254" t="s">
        <v>90</v>
      </c>
      <c r="I11" s="394" t="s">
        <v>91</v>
      </c>
      <c r="J11" s="388" t="s">
        <v>92</v>
      </c>
      <c r="K11" s="389" t="s">
        <v>89</v>
      </c>
      <c r="L11" s="388" t="s">
        <v>91</v>
      </c>
      <c r="M11" s="651"/>
      <c r="N11" s="650"/>
      <c r="O11" s="390" t="s">
        <v>21</v>
      </c>
      <c r="P11" s="651"/>
      <c r="Q11" s="650"/>
      <c r="R11" s="390" t="s">
        <v>21</v>
      </c>
      <c r="S11" s="651"/>
      <c r="T11" s="650"/>
      <c r="U11" s="390" t="s">
        <v>21</v>
      </c>
      <c r="V11" s="651"/>
      <c r="W11" s="650"/>
      <c r="X11" s="390" t="s">
        <v>21</v>
      </c>
      <c r="Y11" s="651"/>
      <c r="Z11" s="650"/>
      <c r="AA11" s="390" t="s">
        <v>21</v>
      </c>
      <c r="AB11" s="651"/>
      <c r="AC11" s="650"/>
      <c r="AD11" s="390" t="s">
        <v>21</v>
      </c>
      <c r="AE11" s="651"/>
      <c r="AF11" s="650"/>
      <c r="AG11" s="390" t="s">
        <v>21</v>
      </c>
      <c r="AH11" s="651"/>
      <c r="AI11" s="650"/>
      <c r="AJ11" s="390" t="s">
        <v>21</v>
      </c>
      <c r="AK11" s="651"/>
      <c r="AL11" s="650"/>
      <c r="AM11" s="390" t="s">
        <v>21</v>
      </c>
      <c r="AN11" s="651"/>
      <c r="AO11" s="650"/>
      <c r="AP11" s="390" t="s">
        <v>21</v>
      </c>
      <c r="AQ11" s="651"/>
      <c r="AR11" s="650"/>
      <c r="AS11" s="390" t="s">
        <v>21</v>
      </c>
      <c r="AT11" s="651"/>
      <c r="AU11" s="650"/>
      <c r="AV11" s="390" t="s">
        <v>21</v>
      </c>
      <c r="AW11" s="651"/>
      <c r="AX11" s="650"/>
      <c r="AY11" s="390" t="s">
        <v>21</v>
      </c>
      <c r="AZ11" s="651"/>
      <c r="BA11" s="650"/>
      <c r="BB11" s="390" t="s">
        <v>21</v>
      </c>
      <c r="BC11" s="6"/>
      <c r="BD11" s="6"/>
      <c r="BE11" s="336">
        <v>0.1</v>
      </c>
      <c r="BF11" s="404"/>
      <c r="BG11" s="404"/>
      <c r="BH11" s="404"/>
      <c r="BI11" s="404"/>
      <c r="BJ11" s="404"/>
      <c r="BK11" s="404"/>
      <c r="BL11" s="404"/>
    </row>
    <row r="12" spans="1:64" s="3" customFormat="1" ht="15" x14ac:dyDescent="0.2">
      <c r="A12" s="198" t="s">
        <v>53</v>
      </c>
      <c r="B12" s="199"/>
      <c r="C12" s="199"/>
      <c r="D12" s="200" t="s">
        <v>93</v>
      </c>
      <c r="E12" s="201"/>
      <c r="F12" s="202"/>
      <c r="G12" s="202"/>
      <c r="H12" s="247"/>
      <c r="I12" s="202"/>
      <c r="J12" s="202"/>
      <c r="K12" s="292"/>
      <c r="L12" s="84"/>
      <c r="M12" s="207"/>
      <c r="N12" s="98"/>
      <c r="O12" s="208"/>
      <c r="P12" s="209"/>
      <c r="Q12" s="98"/>
      <c r="R12" s="208"/>
      <c r="S12" s="209"/>
      <c r="T12" s="98"/>
      <c r="U12" s="208"/>
      <c r="V12" s="209"/>
      <c r="W12" s="98"/>
      <c r="X12" s="208"/>
      <c r="Y12" s="209"/>
      <c r="Z12" s="98"/>
      <c r="AA12" s="208"/>
      <c r="AB12" s="209"/>
      <c r="AC12" s="98"/>
      <c r="AD12" s="208"/>
      <c r="AE12" s="209"/>
      <c r="AF12" s="98"/>
      <c r="AG12" s="208"/>
      <c r="AH12" s="209"/>
      <c r="AI12" s="98"/>
      <c r="AJ12" s="208"/>
      <c r="AK12" s="209"/>
      <c r="AL12" s="98"/>
      <c r="AM12" s="208"/>
      <c r="AN12" s="209"/>
      <c r="AO12" s="98"/>
      <c r="AP12" s="208"/>
      <c r="AQ12" s="209"/>
      <c r="AR12" s="98"/>
      <c r="AS12" s="208"/>
      <c r="AT12" s="209"/>
      <c r="AU12" s="98"/>
      <c r="AV12" s="210"/>
      <c r="AW12" s="209"/>
      <c r="AX12" s="98"/>
      <c r="AY12" s="211"/>
      <c r="AZ12" s="212"/>
      <c r="BA12" s="98"/>
      <c r="BB12" s="211"/>
      <c r="BE12" s="333"/>
      <c r="BF12" s="333"/>
      <c r="BG12" s="333"/>
      <c r="BH12" s="333"/>
      <c r="BI12" s="333"/>
      <c r="BJ12" s="333"/>
      <c r="BK12" s="333"/>
      <c r="BL12" s="333"/>
    </row>
    <row r="13" spans="1:64" s="3" customFormat="1" ht="28.5" x14ac:dyDescent="0.2">
      <c r="A13" s="39" t="s">
        <v>94</v>
      </c>
      <c r="B13" s="338" t="s">
        <v>95</v>
      </c>
      <c r="C13" s="28" t="s">
        <v>96</v>
      </c>
      <c r="D13" s="50" t="s">
        <v>97</v>
      </c>
      <c r="E13" s="28" t="s">
        <v>98</v>
      </c>
      <c r="F13" s="329">
        <v>32.409999999999997</v>
      </c>
      <c r="G13" s="37">
        <f>'Quat Const.'!F4</f>
        <v>199.36</v>
      </c>
      <c r="H13" s="242">
        <f>G13</f>
        <v>199.36</v>
      </c>
      <c r="I13" s="37">
        <f t="shared" ref="I13:I32" si="0">H13-G13</f>
        <v>0</v>
      </c>
      <c r="J13" s="37">
        <f>ROUND((F13*(1+$K$8))*(1+$G$8),2)</f>
        <v>40.78</v>
      </c>
      <c r="K13" s="288">
        <f t="shared" ref="K13:K32" si="1">TRUNC(J13*G13,2)</f>
        <v>8129.9</v>
      </c>
      <c r="L13" s="38">
        <f t="shared" ref="L13:L18" si="2">TRUNC(J13*I13,2)</f>
        <v>0</v>
      </c>
      <c r="M13" s="213">
        <f>N13/$H13*100</f>
        <v>0</v>
      </c>
      <c r="N13" s="98"/>
      <c r="O13" s="98">
        <f t="shared" ref="O13:O32" si="3">TRUNC(N13*$J13,2)</f>
        <v>0</v>
      </c>
      <c r="P13" s="214">
        <f>Q13/$H13*100</f>
        <v>0</v>
      </c>
      <c r="Q13" s="98"/>
      <c r="R13" s="98">
        <f t="shared" ref="R13:R32" si="4">TRUNC(Q13*$J13,2)</f>
        <v>0</v>
      </c>
      <c r="S13" s="214">
        <f>T13/$H13*100</f>
        <v>0</v>
      </c>
      <c r="T13" s="98"/>
      <c r="U13" s="98">
        <f t="shared" ref="U13:U32" si="5">TRUNC(T13*$J13,2)</f>
        <v>0</v>
      </c>
      <c r="V13" s="214">
        <f>W13/$H13*100</f>
        <v>0</v>
      </c>
      <c r="W13" s="98"/>
      <c r="X13" s="98">
        <f t="shared" ref="X13:X32" si="6">TRUNC(W13*$J13,2)</f>
        <v>0</v>
      </c>
      <c r="Y13" s="214">
        <f>Z13/$H13*100</f>
        <v>0</v>
      </c>
      <c r="Z13" s="98"/>
      <c r="AA13" s="98">
        <f t="shared" ref="AA13:AA32" si="7">TRUNC(Z13*$J13,2)</f>
        <v>0</v>
      </c>
      <c r="AB13" s="214">
        <f>AC13/$H13*100</f>
        <v>0</v>
      </c>
      <c r="AC13" s="98"/>
      <c r="AD13" s="98">
        <f t="shared" ref="AD13:AD32" si="8">TRUNC(AC13*$J13,2)</f>
        <v>0</v>
      </c>
      <c r="AE13" s="214">
        <f>AF13/$H13*100</f>
        <v>0</v>
      </c>
      <c r="AF13" s="98"/>
      <c r="AG13" s="98">
        <f t="shared" ref="AG13:AG32" si="9">TRUNC(AF13*$J13,2)</f>
        <v>0</v>
      </c>
      <c r="AH13" s="214">
        <f>AI13/$H13*100</f>
        <v>0</v>
      </c>
      <c r="AI13" s="98"/>
      <c r="AJ13" s="98">
        <f t="shared" ref="AJ13:AJ32" si="10">TRUNC(AI13*$J13,2)</f>
        <v>0</v>
      </c>
      <c r="AK13" s="214">
        <f>AL13/$H13*100</f>
        <v>0</v>
      </c>
      <c r="AL13" s="98"/>
      <c r="AM13" s="98">
        <f t="shared" ref="AM13:AM32" si="11">TRUNC(AL13*$J13,2)</f>
        <v>0</v>
      </c>
      <c r="AN13" s="214">
        <f>AO13/$H13*100</f>
        <v>0</v>
      </c>
      <c r="AO13" s="98"/>
      <c r="AP13" s="98">
        <f t="shared" ref="AP13:AP32" si="12">TRUNC(AO13*$J13,2)</f>
        <v>0</v>
      </c>
      <c r="AQ13" s="214">
        <f>AR13/$H13*100</f>
        <v>0</v>
      </c>
      <c r="AR13" s="98"/>
      <c r="AS13" s="98">
        <f t="shared" ref="AS13:AS32" si="13">TRUNC(AR13*$J13,2)</f>
        <v>0</v>
      </c>
      <c r="AT13" s="214">
        <f>AU13/$H13*100</f>
        <v>0</v>
      </c>
      <c r="AU13" s="98"/>
      <c r="AV13" s="215">
        <f t="shared" ref="AV13:AV32" si="14">TRUNC(AU13*$J13,2)</f>
        <v>0</v>
      </c>
      <c r="AW13" s="214">
        <f>AX13/$H13*100</f>
        <v>0</v>
      </c>
      <c r="AX13" s="98">
        <f>Q13+N13+T13+W13+Z13+AC13+AF13+AI13+AL13+AO13+AR13+AU13</f>
        <v>0</v>
      </c>
      <c r="AY13" s="204">
        <f t="shared" ref="AY13:AY32" si="15">TRUNC(AX13*$J13,2)</f>
        <v>0</v>
      </c>
      <c r="AZ13" s="214">
        <f>BA13/$H13*100</f>
        <v>100</v>
      </c>
      <c r="BA13" s="98">
        <f>H13-AX13</f>
        <v>199.36</v>
      </c>
      <c r="BB13" s="204">
        <f t="shared" ref="BB13:BB32" si="16">TRUNC(BA13*$J13,2)</f>
        <v>8129.9</v>
      </c>
      <c r="BD13" s="335" t="str">
        <f>A13</f>
        <v>1.1</v>
      </c>
      <c r="BE13" s="334">
        <f>J13+J13*$BE$11</f>
        <v>44.858000000000004</v>
      </c>
      <c r="BF13" s="333"/>
      <c r="BG13" s="333"/>
      <c r="BH13" s="333"/>
      <c r="BI13" s="333"/>
      <c r="BJ13" s="333"/>
      <c r="BK13" s="333"/>
      <c r="BL13" s="333"/>
    </row>
    <row r="14" spans="1:64" s="3" customFormat="1" ht="28.5" x14ac:dyDescent="0.2">
      <c r="A14" s="39" t="s">
        <v>99</v>
      </c>
      <c r="B14" s="338" t="s">
        <v>100</v>
      </c>
      <c r="C14" s="28" t="s">
        <v>101</v>
      </c>
      <c r="D14" s="50" t="s">
        <v>102</v>
      </c>
      <c r="E14" s="28" t="s">
        <v>98</v>
      </c>
      <c r="F14" s="339">
        <v>274.44</v>
      </c>
      <c r="G14" s="37">
        <f>'Quat Const.'!F5</f>
        <v>49</v>
      </c>
      <c r="H14" s="242">
        <f t="shared" ref="H14:H32" si="17">G14</f>
        <v>49</v>
      </c>
      <c r="I14" s="37">
        <f t="shared" si="0"/>
        <v>0</v>
      </c>
      <c r="J14" s="37">
        <f t="shared" ref="J14:J32" si="18">ROUND((F14*(1+$K$8))*(1+$G$8),2)</f>
        <v>345.27</v>
      </c>
      <c r="K14" s="288">
        <f t="shared" si="1"/>
        <v>16918.23</v>
      </c>
      <c r="L14" s="38">
        <f t="shared" si="2"/>
        <v>0</v>
      </c>
      <c r="M14" s="213">
        <f t="shared" ref="M14:M32" si="19">N14/$H14*100</f>
        <v>0</v>
      </c>
      <c r="N14" s="98"/>
      <c r="O14" s="98">
        <f t="shared" si="3"/>
        <v>0</v>
      </c>
      <c r="P14" s="214">
        <f t="shared" ref="P14:P32" si="20">Q14/$H14*100</f>
        <v>0</v>
      </c>
      <c r="Q14" s="98"/>
      <c r="R14" s="98">
        <f t="shared" si="4"/>
        <v>0</v>
      </c>
      <c r="S14" s="214">
        <f t="shared" ref="S14:S32" si="21">T14/$H14*100</f>
        <v>0</v>
      </c>
      <c r="T14" s="98"/>
      <c r="U14" s="98">
        <f t="shared" si="5"/>
        <v>0</v>
      </c>
      <c r="V14" s="214">
        <f t="shared" ref="V14:V32" si="22">W14/$H14*100</f>
        <v>0</v>
      </c>
      <c r="W14" s="98"/>
      <c r="X14" s="98">
        <f t="shared" si="6"/>
        <v>0</v>
      </c>
      <c r="Y14" s="214">
        <f t="shared" ref="Y14:Y32" si="23">Z14/$H14*100</f>
        <v>0</v>
      </c>
      <c r="Z14" s="98"/>
      <c r="AA14" s="98">
        <f t="shared" si="7"/>
        <v>0</v>
      </c>
      <c r="AB14" s="214">
        <f t="shared" ref="AB14:AB32" si="24">AC14/$H14*100</f>
        <v>0</v>
      </c>
      <c r="AC14" s="98"/>
      <c r="AD14" s="98">
        <f t="shared" si="8"/>
        <v>0</v>
      </c>
      <c r="AE14" s="214">
        <f t="shared" ref="AE14:AE32" si="25">AF14/$H14*100</f>
        <v>0</v>
      </c>
      <c r="AF14" s="98"/>
      <c r="AG14" s="98">
        <f t="shared" si="9"/>
        <v>0</v>
      </c>
      <c r="AH14" s="214">
        <f t="shared" ref="AH14:AH32" si="26">AI14/$H14*100</f>
        <v>0</v>
      </c>
      <c r="AI14" s="98"/>
      <c r="AJ14" s="98">
        <f t="shared" si="10"/>
        <v>0</v>
      </c>
      <c r="AK14" s="214">
        <f t="shared" ref="AK14:AK32" si="27">AL14/$H14*100</f>
        <v>0</v>
      </c>
      <c r="AL14" s="98"/>
      <c r="AM14" s="98">
        <f t="shared" si="11"/>
        <v>0</v>
      </c>
      <c r="AN14" s="214">
        <f t="shared" ref="AN14:AN32" si="28">AO14/$H14*100</f>
        <v>0</v>
      </c>
      <c r="AO14" s="98"/>
      <c r="AP14" s="98">
        <f t="shared" si="12"/>
        <v>0</v>
      </c>
      <c r="AQ14" s="214">
        <f t="shared" ref="AQ14:AQ32" si="29">AR14/$H14*100</f>
        <v>0</v>
      </c>
      <c r="AR14" s="98"/>
      <c r="AS14" s="98">
        <f t="shared" si="13"/>
        <v>0</v>
      </c>
      <c r="AT14" s="214">
        <f t="shared" ref="AT14:AT32" si="30">AU14/$H14*100</f>
        <v>0</v>
      </c>
      <c r="AU14" s="98"/>
      <c r="AV14" s="215">
        <f t="shared" si="14"/>
        <v>0</v>
      </c>
      <c r="AW14" s="214">
        <f t="shared" ref="AW14:AW32" si="31">AX14/$H14*100</f>
        <v>0</v>
      </c>
      <c r="AX14" s="98">
        <f t="shared" ref="AX14:AX32" si="32">Q14+N14+T14+W14+Z14+AC14+AF14+AI14+AL14+AO14+AR14+AU14</f>
        <v>0</v>
      </c>
      <c r="AY14" s="204">
        <f t="shared" si="15"/>
        <v>0</v>
      </c>
      <c r="AZ14" s="214">
        <f t="shared" ref="AZ14:AZ32" si="33">BA14/$H14*100</f>
        <v>100</v>
      </c>
      <c r="BA14" s="98">
        <f t="shared" ref="BA14:BA32" si="34">H14-AX14</f>
        <v>49</v>
      </c>
      <c r="BB14" s="204">
        <f t="shared" si="16"/>
        <v>16918.23</v>
      </c>
      <c r="BD14" s="335" t="str">
        <f t="shared" ref="BD14:BD23" si="35">A14</f>
        <v>1.2</v>
      </c>
      <c r="BE14" s="334">
        <f t="shared" ref="BE14:BE23" si="36">J14+J14*$BE$11</f>
        <v>379.79699999999997</v>
      </c>
      <c r="BF14" s="333"/>
      <c r="BG14" s="333"/>
      <c r="BH14" s="333"/>
      <c r="BI14" s="333"/>
      <c r="BJ14" s="333"/>
      <c r="BK14" s="333"/>
      <c r="BL14" s="333"/>
    </row>
    <row r="15" spans="1:64" s="3" customFormat="1" ht="15" x14ac:dyDescent="0.2">
      <c r="A15" s="39" t="s">
        <v>103</v>
      </c>
      <c r="B15" s="37" t="s">
        <v>104</v>
      </c>
      <c r="C15" s="37" t="s">
        <v>104</v>
      </c>
      <c r="D15" s="340" t="s">
        <v>105</v>
      </c>
      <c r="E15" s="28" t="s">
        <v>98</v>
      </c>
      <c r="F15" s="341">
        <f>113.58*1.25</f>
        <v>141.97499999999999</v>
      </c>
      <c r="G15" s="37">
        <f>'Quat Const.'!F6</f>
        <v>12.5</v>
      </c>
      <c r="H15" s="242">
        <f t="shared" si="17"/>
        <v>12.5</v>
      </c>
      <c r="I15" s="37">
        <f t="shared" si="0"/>
        <v>0</v>
      </c>
      <c r="J15" s="37">
        <f t="shared" si="18"/>
        <v>178.62</v>
      </c>
      <c r="K15" s="288">
        <f t="shared" si="1"/>
        <v>2232.75</v>
      </c>
      <c r="L15" s="38">
        <f t="shared" si="2"/>
        <v>0</v>
      </c>
      <c r="M15" s="213">
        <f t="shared" si="19"/>
        <v>0</v>
      </c>
      <c r="N15" s="98"/>
      <c r="O15" s="98">
        <f t="shared" si="3"/>
        <v>0</v>
      </c>
      <c r="P15" s="214">
        <f t="shared" si="20"/>
        <v>0</v>
      </c>
      <c r="Q15" s="98"/>
      <c r="R15" s="98">
        <f t="shared" si="4"/>
        <v>0</v>
      </c>
      <c r="S15" s="214">
        <f t="shared" si="21"/>
        <v>0</v>
      </c>
      <c r="T15" s="98"/>
      <c r="U15" s="98">
        <f t="shared" si="5"/>
        <v>0</v>
      </c>
      <c r="V15" s="214">
        <f t="shared" si="22"/>
        <v>0</v>
      </c>
      <c r="W15" s="98"/>
      <c r="X15" s="98">
        <f t="shared" si="6"/>
        <v>0</v>
      </c>
      <c r="Y15" s="214">
        <f t="shared" si="23"/>
        <v>0</v>
      </c>
      <c r="Z15" s="98"/>
      <c r="AA15" s="98">
        <f t="shared" si="7"/>
        <v>0</v>
      </c>
      <c r="AB15" s="214">
        <f t="shared" si="24"/>
        <v>0</v>
      </c>
      <c r="AC15" s="98"/>
      <c r="AD15" s="98">
        <f t="shared" si="8"/>
        <v>0</v>
      </c>
      <c r="AE15" s="214">
        <f t="shared" si="25"/>
        <v>0</v>
      </c>
      <c r="AF15" s="98"/>
      <c r="AG15" s="98">
        <f t="shared" si="9"/>
        <v>0</v>
      </c>
      <c r="AH15" s="214">
        <f t="shared" si="26"/>
        <v>0</v>
      </c>
      <c r="AI15" s="98"/>
      <c r="AJ15" s="98">
        <f t="shared" si="10"/>
        <v>0</v>
      </c>
      <c r="AK15" s="214">
        <f t="shared" si="27"/>
        <v>0</v>
      </c>
      <c r="AL15" s="98"/>
      <c r="AM15" s="98">
        <f t="shared" si="11"/>
        <v>0</v>
      </c>
      <c r="AN15" s="214">
        <f t="shared" si="28"/>
        <v>0</v>
      </c>
      <c r="AO15" s="98"/>
      <c r="AP15" s="98">
        <f t="shared" si="12"/>
        <v>0</v>
      </c>
      <c r="AQ15" s="214">
        <f t="shared" si="29"/>
        <v>0</v>
      </c>
      <c r="AR15" s="98"/>
      <c r="AS15" s="98">
        <f t="shared" si="13"/>
        <v>0</v>
      </c>
      <c r="AT15" s="214">
        <f t="shared" si="30"/>
        <v>0</v>
      </c>
      <c r="AU15" s="98"/>
      <c r="AV15" s="215">
        <f t="shared" si="14"/>
        <v>0</v>
      </c>
      <c r="AW15" s="214">
        <f t="shared" si="31"/>
        <v>0</v>
      </c>
      <c r="AX15" s="98">
        <f t="shared" si="32"/>
        <v>0</v>
      </c>
      <c r="AY15" s="204">
        <f t="shared" si="15"/>
        <v>0</v>
      </c>
      <c r="AZ15" s="214">
        <f t="shared" si="33"/>
        <v>100</v>
      </c>
      <c r="BA15" s="98">
        <f t="shared" si="34"/>
        <v>12.5</v>
      </c>
      <c r="BB15" s="204">
        <f t="shared" si="16"/>
        <v>2232.75</v>
      </c>
      <c r="BD15" s="335" t="str">
        <f t="shared" si="35"/>
        <v>1.3</v>
      </c>
      <c r="BE15" s="334">
        <f t="shared" si="36"/>
        <v>196.482</v>
      </c>
      <c r="BF15" s="333"/>
      <c r="BG15" s="333"/>
      <c r="BH15" s="333"/>
      <c r="BI15" s="333"/>
      <c r="BJ15" s="333"/>
      <c r="BK15" s="333"/>
      <c r="BL15" s="333"/>
    </row>
    <row r="16" spans="1:64" s="3" customFormat="1" ht="28.5" x14ac:dyDescent="0.2">
      <c r="A16" s="39" t="s">
        <v>106</v>
      </c>
      <c r="B16" s="338" t="s">
        <v>107</v>
      </c>
      <c r="C16" s="28" t="s">
        <v>108</v>
      </c>
      <c r="D16" s="50" t="s">
        <v>109</v>
      </c>
      <c r="E16" s="28" t="s">
        <v>110</v>
      </c>
      <c r="F16" s="339">
        <v>1310.81</v>
      </c>
      <c r="G16" s="37">
        <f>'Quat Const.'!F7</f>
        <v>1</v>
      </c>
      <c r="H16" s="242">
        <f t="shared" si="17"/>
        <v>1</v>
      </c>
      <c r="I16" s="37">
        <f>H16-G16</f>
        <v>0</v>
      </c>
      <c r="J16" s="37">
        <f>ROUND((F16*(1+$K$8))*(1+$G$8),2)</f>
        <v>1649.13</v>
      </c>
      <c r="K16" s="288">
        <f>TRUNC(J16*G16,2)</f>
        <v>1649.13</v>
      </c>
      <c r="L16" s="38">
        <f t="shared" si="2"/>
        <v>0</v>
      </c>
      <c r="M16" s="213">
        <f>N16/$H16*100</f>
        <v>0</v>
      </c>
      <c r="N16" s="98"/>
      <c r="O16" s="98">
        <f t="shared" si="3"/>
        <v>0</v>
      </c>
      <c r="P16" s="214">
        <f>Q16/$H16*100</f>
        <v>0</v>
      </c>
      <c r="Q16" s="98"/>
      <c r="R16" s="98">
        <f t="shared" si="4"/>
        <v>0</v>
      </c>
      <c r="S16" s="214">
        <f>T16/$H16*100</f>
        <v>0</v>
      </c>
      <c r="T16" s="98"/>
      <c r="U16" s="98">
        <f t="shared" si="5"/>
        <v>0</v>
      </c>
      <c r="V16" s="214">
        <f>W16/$H16*100</f>
        <v>0</v>
      </c>
      <c r="W16" s="98"/>
      <c r="X16" s="98">
        <f t="shared" si="6"/>
        <v>0</v>
      </c>
      <c r="Y16" s="214">
        <f>Z16/$H16*100</f>
        <v>0</v>
      </c>
      <c r="Z16" s="98"/>
      <c r="AA16" s="98">
        <f t="shared" si="7"/>
        <v>0</v>
      </c>
      <c r="AB16" s="214">
        <f>AC16/$H16*100</f>
        <v>0</v>
      </c>
      <c r="AC16" s="98"/>
      <c r="AD16" s="98">
        <f t="shared" si="8"/>
        <v>0</v>
      </c>
      <c r="AE16" s="214">
        <f>AF16/$H16*100</f>
        <v>0</v>
      </c>
      <c r="AF16" s="98"/>
      <c r="AG16" s="98">
        <f t="shared" si="9"/>
        <v>0</v>
      </c>
      <c r="AH16" s="214">
        <f>AI16/$H16*100</f>
        <v>0</v>
      </c>
      <c r="AI16" s="98"/>
      <c r="AJ16" s="98">
        <f t="shared" si="10"/>
        <v>0</v>
      </c>
      <c r="AK16" s="214">
        <f>AL16/$H16*100</f>
        <v>0</v>
      </c>
      <c r="AL16" s="98"/>
      <c r="AM16" s="98">
        <f t="shared" si="11"/>
        <v>0</v>
      </c>
      <c r="AN16" s="214">
        <f>AO16/$H16*100</f>
        <v>0</v>
      </c>
      <c r="AO16" s="98"/>
      <c r="AP16" s="98">
        <f t="shared" si="12"/>
        <v>0</v>
      </c>
      <c r="AQ16" s="214">
        <f>AR16/$H16*100</f>
        <v>0</v>
      </c>
      <c r="AR16" s="98"/>
      <c r="AS16" s="98">
        <f t="shared" si="13"/>
        <v>0</v>
      </c>
      <c r="AT16" s="214">
        <f>AU16/$H16*100</f>
        <v>0</v>
      </c>
      <c r="AU16" s="98"/>
      <c r="AV16" s="215">
        <f t="shared" si="14"/>
        <v>0</v>
      </c>
      <c r="AW16" s="214">
        <f>AX16/$H16*100</f>
        <v>0</v>
      </c>
      <c r="AX16" s="98">
        <f>Q16+N16+T16+W16+Z16+AC16+AF16+AI16+AL16+AO16+AR16+AU16</f>
        <v>0</v>
      </c>
      <c r="AY16" s="204">
        <f t="shared" si="15"/>
        <v>0</v>
      </c>
      <c r="AZ16" s="214">
        <f>BA16/$H16*100</f>
        <v>100</v>
      </c>
      <c r="BA16" s="98">
        <f>H16-AX16</f>
        <v>1</v>
      </c>
      <c r="BB16" s="204">
        <f t="shared" si="16"/>
        <v>1649.13</v>
      </c>
      <c r="BD16" s="335" t="str">
        <f>A16</f>
        <v>1.4</v>
      </c>
      <c r="BE16" s="334">
        <f>J16+J16*$BE$11</f>
        <v>1814.0430000000001</v>
      </c>
      <c r="BF16" s="333"/>
      <c r="BG16" s="333"/>
      <c r="BH16" s="333"/>
      <c r="BI16" s="333"/>
      <c r="BJ16" s="333"/>
      <c r="BK16" s="333"/>
      <c r="BL16" s="333"/>
    </row>
    <row r="17" spans="1:64" s="3" customFormat="1" ht="15" x14ac:dyDescent="0.2">
      <c r="A17" s="39" t="s">
        <v>111</v>
      </c>
      <c r="B17" s="338" t="s">
        <v>112</v>
      </c>
      <c r="C17" s="28" t="s">
        <v>113</v>
      </c>
      <c r="D17" s="58" t="s">
        <v>114</v>
      </c>
      <c r="E17" s="28" t="s">
        <v>110</v>
      </c>
      <c r="F17" s="339">
        <v>1464.32</v>
      </c>
      <c r="G17" s="37">
        <f>'Quat Const.'!F8</f>
        <v>1</v>
      </c>
      <c r="H17" s="242">
        <f t="shared" si="17"/>
        <v>1</v>
      </c>
      <c r="I17" s="37">
        <f>H17-G17</f>
        <v>0</v>
      </c>
      <c r="J17" s="37">
        <f>ROUND((F17*(1+$K$8))*(1+$G$8),2)</f>
        <v>1842.26</v>
      </c>
      <c r="K17" s="288">
        <f>TRUNC(J17*G17,2)</f>
        <v>1842.26</v>
      </c>
      <c r="L17" s="38">
        <f t="shared" si="2"/>
        <v>0</v>
      </c>
      <c r="M17" s="213">
        <f>N17/$H17*100</f>
        <v>0</v>
      </c>
      <c r="N17" s="98"/>
      <c r="O17" s="98">
        <f t="shared" si="3"/>
        <v>0</v>
      </c>
      <c r="P17" s="214">
        <f>Q17/$H17*100</f>
        <v>0</v>
      </c>
      <c r="Q17" s="98"/>
      <c r="R17" s="98">
        <f t="shared" si="4"/>
        <v>0</v>
      </c>
      <c r="S17" s="214">
        <f>T17/$H17*100</f>
        <v>0</v>
      </c>
      <c r="T17" s="98"/>
      <c r="U17" s="98">
        <f t="shared" si="5"/>
        <v>0</v>
      </c>
      <c r="V17" s="214">
        <f>W17/$H17*100</f>
        <v>0</v>
      </c>
      <c r="W17" s="98"/>
      <c r="X17" s="98">
        <f t="shared" si="6"/>
        <v>0</v>
      </c>
      <c r="Y17" s="214">
        <f>Z17/$H17*100</f>
        <v>0</v>
      </c>
      <c r="Z17" s="98"/>
      <c r="AA17" s="98">
        <f t="shared" si="7"/>
        <v>0</v>
      </c>
      <c r="AB17" s="214">
        <f>AC17/$H17*100</f>
        <v>0</v>
      </c>
      <c r="AC17" s="98"/>
      <c r="AD17" s="98">
        <f t="shared" si="8"/>
        <v>0</v>
      </c>
      <c r="AE17" s="214">
        <f>AF17/$H17*100</f>
        <v>0</v>
      </c>
      <c r="AF17" s="98"/>
      <c r="AG17" s="98">
        <f t="shared" si="9"/>
        <v>0</v>
      </c>
      <c r="AH17" s="214">
        <f>AI17/$H17*100</f>
        <v>0</v>
      </c>
      <c r="AI17" s="98"/>
      <c r="AJ17" s="98">
        <f t="shared" si="10"/>
        <v>0</v>
      </c>
      <c r="AK17" s="214">
        <f>AL17/$H17*100</f>
        <v>0</v>
      </c>
      <c r="AL17" s="98"/>
      <c r="AM17" s="98">
        <f t="shared" si="11"/>
        <v>0</v>
      </c>
      <c r="AN17" s="214">
        <f>AO17/$H17*100</f>
        <v>0</v>
      </c>
      <c r="AO17" s="98"/>
      <c r="AP17" s="98">
        <f t="shared" si="12"/>
        <v>0</v>
      </c>
      <c r="AQ17" s="214">
        <f>AR17/$H17*100</f>
        <v>0</v>
      </c>
      <c r="AR17" s="98"/>
      <c r="AS17" s="98">
        <f t="shared" si="13"/>
        <v>0</v>
      </c>
      <c r="AT17" s="214">
        <f>AU17/$H17*100</f>
        <v>0</v>
      </c>
      <c r="AU17" s="98"/>
      <c r="AV17" s="215">
        <f t="shared" si="14"/>
        <v>0</v>
      </c>
      <c r="AW17" s="214">
        <f>AX17/$H17*100</f>
        <v>0</v>
      </c>
      <c r="AX17" s="98">
        <f>Q17+N17+T17+W17+Z17+AC17+AF17+AI17+AL17+AO17+AR17+AU17</f>
        <v>0</v>
      </c>
      <c r="AY17" s="204">
        <f t="shared" si="15"/>
        <v>0</v>
      </c>
      <c r="AZ17" s="214">
        <f>BA17/$H17*100</f>
        <v>100</v>
      </c>
      <c r="BA17" s="98">
        <f>H17-AX17</f>
        <v>1</v>
      </c>
      <c r="BB17" s="204">
        <f t="shared" si="16"/>
        <v>1842.26</v>
      </c>
      <c r="BD17" s="335" t="str">
        <f>A17</f>
        <v>1.5</v>
      </c>
      <c r="BE17" s="334">
        <f>J17+J17*$BE$11</f>
        <v>2026.4859999999999</v>
      </c>
      <c r="BF17" s="333"/>
      <c r="BG17" s="333"/>
      <c r="BH17" s="333"/>
      <c r="BI17" s="333"/>
      <c r="BJ17" s="333"/>
      <c r="BK17" s="333"/>
      <c r="BL17" s="333"/>
    </row>
    <row r="18" spans="1:64" s="3" customFormat="1" ht="15" x14ac:dyDescent="0.2">
      <c r="A18" s="39" t="s">
        <v>115</v>
      </c>
      <c r="B18" s="338" t="s">
        <v>116</v>
      </c>
      <c r="C18" s="28" t="s">
        <v>117</v>
      </c>
      <c r="D18" s="58" t="s">
        <v>118</v>
      </c>
      <c r="E18" s="28" t="s">
        <v>119</v>
      </c>
      <c r="F18" s="329">
        <v>3.7</v>
      </c>
      <c r="G18" s="37">
        <f>'Quat Const.'!F9</f>
        <v>36</v>
      </c>
      <c r="H18" s="242">
        <f t="shared" si="17"/>
        <v>36</v>
      </c>
      <c r="I18" s="37">
        <f>H18-G18</f>
        <v>0</v>
      </c>
      <c r="J18" s="37">
        <f>ROUND((F18*(1+$K$8))*(1+$G$8),2)</f>
        <v>4.6500000000000004</v>
      </c>
      <c r="K18" s="288">
        <f>TRUNC(J18*G18,2)</f>
        <v>167.4</v>
      </c>
      <c r="L18" s="38">
        <f t="shared" si="2"/>
        <v>0</v>
      </c>
      <c r="M18" s="213">
        <f>N18/$H18*100</f>
        <v>0</v>
      </c>
      <c r="N18" s="98"/>
      <c r="O18" s="98">
        <f t="shared" si="3"/>
        <v>0</v>
      </c>
      <c r="P18" s="214">
        <f>Q18/$H18*100</f>
        <v>0</v>
      </c>
      <c r="Q18" s="98"/>
      <c r="R18" s="98">
        <f t="shared" si="4"/>
        <v>0</v>
      </c>
      <c r="S18" s="214">
        <f>T18/$H18*100</f>
        <v>0</v>
      </c>
      <c r="T18" s="98"/>
      <c r="U18" s="98">
        <f t="shared" si="5"/>
        <v>0</v>
      </c>
      <c r="V18" s="214">
        <f>W18/$H18*100</f>
        <v>0</v>
      </c>
      <c r="W18" s="98"/>
      <c r="X18" s="98">
        <f t="shared" si="6"/>
        <v>0</v>
      </c>
      <c r="Y18" s="214">
        <f>Z18/$H18*100</f>
        <v>0</v>
      </c>
      <c r="Z18" s="98"/>
      <c r="AA18" s="98">
        <f t="shared" si="7"/>
        <v>0</v>
      </c>
      <c r="AB18" s="214">
        <f>AC18/$H18*100</f>
        <v>0</v>
      </c>
      <c r="AC18" s="98"/>
      <c r="AD18" s="98">
        <f t="shared" si="8"/>
        <v>0</v>
      </c>
      <c r="AE18" s="214">
        <f>AF18/$H18*100</f>
        <v>0</v>
      </c>
      <c r="AF18" s="98"/>
      <c r="AG18" s="98">
        <f t="shared" si="9"/>
        <v>0</v>
      </c>
      <c r="AH18" s="214">
        <f>AI18/$H18*100</f>
        <v>0</v>
      </c>
      <c r="AI18" s="98"/>
      <c r="AJ18" s="98">
        <f t="shared" si="10"/>
        <v>0</v>
      </c>
      <c r="AK18" s="214">
        <f>AL18/$H18*100</f>
        <v>0</v>
      </c>
      <c r="AL18" s="98"/>
      <c r="AM18" s="98">
        <f t="shared" si="11"/>
        <v>0</v>
      </c>
      <c r="AN18" s="214">
        <f>AO18/$H18*100</f>
        <v>0</v>
      </c>
      <c r="AO18" s="98"/>
      <c r="AP18" s="98">
        <f t="shared" si="12"/>
        <v>0</v>
      </c>
      <c r="AQ18" s="214">
        <f>AR18/$H18*100</f>
        <v>0</v>
      </c>
      <c r="AR18" s="98"/>
      <c r="AS18" s="98">
        <f t="shared" si="13"/>
        <v>0</v>
      </c>
      <c r="AT18" s="214">
        <f>AU18/$H18*100</f>
        <v>0</v>
      </c>
      <c r="AU18" s="98"/>
      <c r="AV18" s="215">
        <f t="shared" si="14"/>
        <v>0</v>
      </c>
      <c r="AW18" s="214">
        <f>AX18/$H18*100</f>
        <v>0</v>
      </c>
      <c r="AX18" s="98">
        <f>Q18+N18+T18+W18+Z18+AC18+AF18+AI18+AL18+AO18+AR18+AU18</f>
        <v>0</v>
      </c>
      <c r="AY18" s="204">
        <f t="shared" si="15"/>
        <v>0</v>
      </c>
      <c r="AZ18" s="214">
        <f>BA18/$H18*100</f>
        <v>100</v>
      </c>
      <c r="BA18" s="98">
        <f>H18-AX18</f>
        <v>36</v>
      </c>
      <c r="BB18" s="204">
        <f t="shared" si="16"/>
        <v>167.4</v>
      </c>
      <c r="BD18" s="335" t="str">
        <f>A18</f>
        <v>1.6</v>
      </c>
      <c r="BE18" s="334">
        <f>J18+J18*$BE$11</f>
        <v>5.1150000000000002</v>
      </c>
      <c r="BF18" s="333"/>
      <c r="BG18" s="333"/>
      <c r="BH18" s="333"/>
      <c r="BI18" s="333"/>
      <c r="BJ18" s="333"/>
      <c r="BK18" s="333"/>
      <c r="BL18" s="333"/>
    </row>
    <row r="19" spans="1:64" s="3" customFormat="1" ht="15" x14ac:dyDescent="0.2">
      <c r="A19" s="39" t="s">
        <v>120</v>
      </c>
      <c r="B19" s="338" t="s">
        <v>121</v>
      </c>
      <c r="C19" s="28" t="s">
        <v>122</v>
      </c>
      <c r="D19" s="58" t="s">
        <v>123</v>
      </c>
      <c r="E19" s="28" t="s">
        <v>124</v>
      </c>
      <c r="F19" s="28">
        <v>7175.34</v>
      </c>
      <c r="G19" s="37">
        <f>'Quat Const.'!F10</f>
        <v>12</v>
      </c>
      <c r="H19" s="242">
        <f t="shared" si="17"/>
        <v>12</v>
      </c>
      <c r="I19" s="37">
        <f t="shared" si="0"/>
        <v>0</v>
      </c>
      <c r="J19" s="37">
        <f t="shared" si="18"/>
        <v>9027.2999999999993</v>
      </c>
      <c r="K19" s="288">
        <f t="shared" si="1"/>
        <v>108327.6</v>
      </c>
      <c r="L19" s="38">
        <f t="shared" ref="L19:L89" si="37">TRUNC(J19*I19,2)</f>
        <v>0</v>
      </c>
      <c r="M19" s="213">
        <f t="shared" si="19"/>
        <v>0</v>
      </c>
      <c r="N19" s="98"/>
      <c r="O19" s="98">
        <f t="shared" si="3"/>
        <v>0</v>
      </c>
      <c r="P19" s="214">
        <f t="shared" si="20"/>
        <v>0</v>
      </c>
      <c r="Q19" s="98"/>
      <c r="R19" s="98">
        <f t="shared" si="4"/>
        <v>0</v>
      </c>
      <c r="S19" s="214">
        <f t="shared" si="21"/>
        <v>0</v>
      </c>
      <c r="T19" s="98"/>
      <c r="U19" s="98">
        <f t="shared" si="5"/>
        <v>0</v>
      </c>
      <c r="V19" s="214">
        <f t="shared" si="22"/>
        <v>0</v>
      </c>
      <c r="W19" s="98"/>
      <c r="X19" s="98">
        <f t="shared" si="6"/>
        <v>0</v>
      </c>
      <c r="Y19" s="214">
        <f t="shared" si="23"/>
        <v>0</v>
      </c>
      <c r="Z19" s="98"/>
      <c r="AA19" s="98">
        <f t="shared" si="7"/>
        <v>0</v>
      </c>
      <c r="AB19" s="214">
        <f t="shared" si="24"/>
        <v>0</v>
      </c>
      <c r="AC19" s="98"/>
      <c r="AD19" s="98">
        <f t="shared" si="8"/>
        <v>0</v>
      </c>
      <c r="AE19" s="214">
        <f t="shared" si="25"/>
        <v>0</v>
      </c>
      <c r="AF19" s="98"/>
      <c r="AG19" s="98">
        <f t="shared" si="9"/>
        <v>0</v>
      </c>
      <c r="AH19" s="214">
        <f t="shared" si="26"/>
        <v>0</v>
      </c>
      <c r="AI19" s="98"/>
      <c r="AJ19" s="98">
        <f t="shared" si="10"/>
        <v>0</v>
      </c>
      <c r="AK19" s="214">
        <f t="shared" si="27"/>
        <v>0</v>
      </c>
      <c r="AL19" s="98"/>
      <c r="AM19" s="98">
        <f t="shared" si="11"/>
        <v>0</v>
      </c>
      <c r="AN19" s="214">
        <f t="shared" si="28"/>
        <v>0</v>
      </c>
      <c r="AO19" s="98"/>
      <c r="AP19" s="98">
        <f t="shared" si="12"/>
        <v>0</v>
      </c>
      <c r="AQ19" s="214">
        <f t="shared" si="29"/>
        <v>0</v>
      </c>
      <c r="AR19" s="98"/>
      <c r="AS19" s="98">
        <f t="shared" si="13"/>
        <v>0</v>
      </c>
      <c r="AT19" s="214">
        <f t="shared" si="30"/>
        <v>0</v>
      </c>
      <c r="AU19" s="98"/>
      <c r="AV19" s="215">
        <f t="shared" si="14"/>
        <v>0</v>
      </c>
      <c r="AW19" s="214">
        <f t="shared" si="31"/>
        <v>0</v>
      </c>
      <c r="AX19" s="98">
        <f t="shared" si="32"/>
        <v>0</v>
      </c>
      <c r="AY19" s="204">
        <f t="shared" si="15"/>
        <v>0</v>
      </c>
      <c r="AZ19" s="214">
        <f t="shared" si="33"/>
        <v>100</v>
      </c>
      <c r="BA19" s="98">
        <f t="shared" si="34"/>
        <v>12</v>
      </c>
      <c r="BB19" s="204">
        <f t="shared" si="16"/>
        <v>108327.6</v>
      </c>
      <c r="BD19" s="335" t="str">
        <f t="shared" si="35"/>
        <v>1.7</v>
      </c>
      <c r="BE19" s="334">
        <f t="shared" si="36"/>
        <v>9930.0299999999988</v>
      </c>
      <c r="BF19" s="333"/>
      <c r="BG19" s="333"/>
      <c r="BH19" s="333"/>
      <c r="BI19" s="333"/>
      <c r="BJ19" s="333"/>
      <c r="BK19" s="333"/>
      <c r="BL19" s="333"/>
    </row>
    <row r="20" spans="1:64" s="3" customFormat="1" ht="15" customHeight="1" x14ac:dyDescent="0.2">
      <c r="A20" s="39"/>
      <c r="B20" s="28"/>
      <c r="C20" s="28"/>
      <c r="D20" s="92"/>
      <c r="E20" s="28"/>
      <c r="F20" s="342"/>
      <c r="G20" s="37"/>
      <c r="H20" s="242"/>
      <c r="I20" s="37"/>
      <c r="J20" s="291" t="s">
        <v>125</v>
      </c>
      <c r="K20" s="172">
        <f>SUM(K13:K19)</f>
        <v>139267.27000000002</v>
      </c>
      <c r="L20" s="172">
        <f>SUM(L13:L19)</f>
        <v>0</v>
      </c>
      <c r="M20" s="648" t="s">
        <v>125</v>
      </c>
      <c r="N20" s="642"/>
      <c r="O20" s="173">
        <f>SUM(O13:O19)</f>
        <v>0</v>
      </c>
      <c r="P20" s="641" t="s">
        <v>125</v>
      </c>
      <c r="Q20" s="642"/>
      <c r="R20" s="43">
        <f>SUM(R13:R19)</f>
        <v>0</v>
      </c>
      <c r="S20" s="648" t="s">
        <v>125</v>
      </c>
      <c r="T20" s="642"/>
      <c r="U20" s="173">
        <f>SUM(U13:U19)</f>
        <v>0</v>
      </c>
      <c r="V20" s="641" t="s">
        <v>125</v>
      </c>
      <c r="W20" s="642"/>
      <c r="X20" s="43">
        <f>SUM(X13:X19)</f>
        <v>0</v>
      </c>
      <c r="Y20" s="648" t="s">
        <v>125</v>
      </c>
      <c r="Z20" s="642"/>
      <c r="AA20" s="173">
        <f>SUM(AA13:AA19)</f>
        <v>0</v>
      </c>
      <c r="AB20" s="641" t="s">
        <v>125</v>
      </c>
      <c r="AC20" s="642"/>
      <c r="AD20" s="43">
        <f>SUM(AD13:AD19)</f>
        <v>0</v>
      </c>
      <c r="AE20" s="648" t="s">
        <v>125</v>
      </c>
      <c r="AF20" s="642"/>
      <c r="AG20" s="173">
        <f>SUM(AG13:AG19)</f>
        <v>0</v>
      </c>
      <c r="AH20" s="641" t="s">
        <v>125</v>
      </c>
      <c r="AI20" s="642"/>
      <c r="AJ20" s="43">
        <f>SUM(AJ13:AJ19)</f>
        <v>0</v>
      </c>
      <c r="AK20" s="648" t="s">
        <v>125</v>
      </c>
      <c r="AL20" s="642"/>
      <c r="AM20" s="173">
        <f>SUM(AM13:AM19)</f>
        <v>0</v>
      </c>
      <c r="AN20" s="641" t="s">
        <v>125</v>
      </c>
      <c r="AO20" s="642"/>
      <c r="AP20" s="43">
        <f>SUM(AP13:AP19)</f>
        <v>0</v>
      </c>
      <c r="AQ20" s="648" t="s">
        <v>125</v>
      </c>
      <c r="AR20" s="642"/>
      <c r="AS20" s="173">
        <f>SUM(AS13:AS19)</f>
        <v>0</v>
      </c>
      <c r="AT20" s="641" t="s">
        <v>125</v>
      </c>
      <c r="AU20" s="642"/>
      <c r="AV20" s="43">
        <f>SUM(AV13:AV19)</f>
        <v>0</v>
      </c>
      <c r="AW20" s="648" t="s">
        <v>125</v>
      </c>
      <c r="AX20" s="642"/>
      <c r="AY20" s="173">
        <f>SUM(AY13:AY19)</f>
        <v>0</v>
      </c>
      <c r="AZ20" s="641" t="s">
        <v>125</v>
      </c>
      <c r="BA20" s="642"/>
      <c r="BB20" s="43">
        <f>SUM(BB13:BB19)</f>
        <v>139267.27000000002</v>
      </c>
      <c r="BD20" s="335">
        <f t="shared" si="35"/>
        <v>0</v>
      </c>
      <c r="BE20" s="334" t="e">
        <f t="shared" si="36"/>
        <v>#VALUE!</v>
      </c>
      <c r="BF20" s="333"/>
      <c r="BG20" s="333"/>
      <c r="BH20" s="333"/>
      <c r="BI20" s="333"/>
      <c r="BJ20" s="333"/>
      <c r="BK20" s="333"/>
      <c r="BL20" s="333"/>
    </row>
    <row r="21" spans="1:64" s="3" customFormat="1" ht="15" x14ac:dyDescent="0.2">
      <c r="A21" s="34" t="s">
        <v>41</v>
      </c>
      <c r="B21" s="291"/>
      <c r="C21" s="291"/>
      <c r="D21" s="35" t="s">
        <v>126</v>
      </c>
      <c r="E21" s="36"/>
      <c r="F21" s="37"/>
      <c r="G21" s="37"/>
      <c r="H21" s="242"/>
      <c r="I21" s="37"/>
      <c r="J21" s="37"/>
      <c r="K21" s="288"/>
      <c r="L21" s="288"/>
      <c r="M21" s="207"/>
      <c r="N21" s="98"/>
      <c r="O21" s="208"/>
      <c r="P21" s="209"/>
      <c r="Q21" s="98"/>
      <c r="R21" s="208"/>
      <c r="S21" s="209"/>
      <c r="T21" s="98"/>
      <c r="U21" s="208"/>
      <c r="V21" s="209"/>
      <c r="W21" s="98"/>
      <c r="X21" s="208"/>
      <c r="Y21" s="209"/>
      <c r="Z21" s="98"/>
      <c r="AA21" s="208"/>
      <c r="AB21" s="209"/>
      <c r="AC21" s="98"/>
      <c r="AD21" s="208"/>
      <c r="AE21" s="209"/>
      <c r="AF21" s="98"/>
      <c r="AG21" s="208"/>
      <c r="AH21" s="209"/>
      <c r="AI21" s="98"/>
      <c r="AJ21" s="208"/>
      <c r="AK21" s="209"/>
      <c r="AL21" s="98"/>
      <c r="AM21" s="208"/>
      <c r="AN21" s="209"/>
      <c r="AO21" s="98"/>
      <c r="AP21" s="208"/>
      <c r="AQ21" s="209"/>
      <c r="AR21" s="98"/>
      <c r="AS21" s="208"/>
      <c r="AT21" s="209"/>
      <c r="AU21" s="98"/>
      <c r="AV21" s="210"/>
      <c r="AW21" s="209"/>
      <c r="AX21" s="98"/>
      <c r="AY21" s="211"/>
      <c r="AZ21" s="212"/>
      <c r="BA21" s="98"/>
      <c r="BB21" s="211"/>
      <c r="BD21" s="335" t="str">
        <f t="shared" si="35"/>
        <v>2.0</v>
      </c>
      <c r="BE21" s="334">
        <f t="shared" si="36"/>
        <v>0</v>
      </c>
      <c r="BF21" s="333"/>
      <c r="BG21" s="333"/>
      <c r="BH21" s="333"/>
      <c r="BI21" s="333"/>
      <c r="BJ21" s="333"/>
      <c r="BK21" s="333"/>
      <c r="BL21" s="333"/>
    </row>
    <row r="22" spans="1:64" s="3" customFormat="1" ht="15" x14ac:dyDescent="0.2">
      <c r="A22" s="39" t="s">
        <v>127</v>
      </c>
      <c r="B22" s="338" t="s">
        <v>128</v>
      </c>
      <c r="C22" s="28" t="s">
        <v>129</v>
      </c>
      <c r="D22" s="58" t="s">
        <v>130</v>
      </c>
      <c r="E22" s="28" t="s">
        <v>119</v>
      </c>
      <c r="F22" s="339">
        <v>18.21</v>
      </c>
      <c r="G22" s="37">
        <f>'Quat Const.'!F12</f>
        <v>68.98</v>
      </c>
      <c r="H22" s="242">
        <f t="shared" si="17"/>
        <v>68.98</v>
      </c>
      <c r="I22" s="37">
        <f t="shared" si="0"/>
        <v>0</v>
      </c>
      <c r="J22" s="37">
        <f t="shared" si="18"/>
        <v>22.91</v>
      </c>
      <c r="K22" s="288">
        <f t="shared" si="1"/>
        <v>1580.33</v>
      </c>
      <c r="L22" s="38">
        <f t="shared" si="37"/>
        <v>0</v>
      </c>
      <c r="M22" s="213">
        <f t="shared" si="19"/>
        <v>0</v>
      </c>
      <c r="N22" s="98"/>
      <c r="O22" s="98">
        <f t="shared" si="3"/>
        <v>0</v>
      </c>
      <c r="P22" s="214">
        <f t="shared" si="20"/>
        <v>0</v>
      </c>
      <c r="Q22" s="98"/>
      <c r="R22" s="98">
        <f t="shared" si="4"/>
        <v>0</v>
      </c>
      <c r="S22" s="214">
        <f t="shared" si="21"/>
        <v>0</v>
      </c>
      <c r="T22" s="98"/>
      <c r="U22" s="98">
        <f t="shared" si="5"/>
        <v>0</v>
      </c>
      <c r="V22" s="214">
        <f t="shared" si="22"/>
        <v>0</v>
      </c>
      <c r="W22" s="98"/>
      <c r="X22" s="98">
        <f t="shared" si="6"/>
        <v>0</v>
      </c>
      <c r="Y22" s="214">
        <f t="shared" si="23"/>
        <v>0</v>
      </c>
      <c r="Z22" s="98"/>
      <c r="AA22" s="98">
        <f t="shared" si="7"/>
        <v>0</v>
      </c>
      <c r="AB22" s="214">
        <f t="shared" si="24"/>
        <v>0</v>
      </c>
      <c r="AC22" s="98"/>
      <c r="AD22" s="98">
        <f t="shared" si="8"/>
        <v>0</v>
      </c>
      <c r="AE22" s="214">
        <f t="shared" si="25"/>
        <v>0</v>
      </c>
      <c r="AF22" s="98"/>
      <c r="AG22" s="98">
        <f t="shared" si="9"/>
        <v>0</v>
      </c>
      <c r="AH22" s="214">
        <f t="shared" si="26"/>
        <v>0</v>
      </c>
      <c r="AI22" s="98"/>
      <c r="AJ22" s="98">
        <f t="shared" si="10"/>
        <v>0</v>
      </c>
      <c r="AK22" s="214">
        <f t="shared" si="27"/>
        <v>0</v>
      </c>
      <c r="AL22" s="98"/>
      <c r="AM22" s="98">
        <f t="shared" si="11"/>
        <v>0</v>
      </c>
      <c r="AN22" s="214">
        <f t="shared" si="28"/>
        <v>0</v>
      </c>
      <c r="AO22" s="98"/>
      <c r="AP22" s="98">
        <f t="shared" si="12"/>
        <v>0</v>
      </c>
      <c r="AQ22" s="214">
        <f t="shared" si="29"/>
        <v>0</v>
      </c>
      <c r="AR22" s="98"/>
      <c r="AS22" s="98">
        <f t="shared" si="13"/>
        <v>0</v>
      </c>
      <c r="AT22" s="214">
        <f t="shared" si="30"/>
        <v>0</v>
      </c>
      <c r="AU22" s="98"/>
      <c r="AV22" s="215">
        <f t="shared" si="14"/>
        <v>0</v>
      </c>
      <c r="AW22" s="214">
        <f t="shared" si="31"/>
        <v>0</v>
      </c>
      <c r="AX22" s="98">
        <f t="shared" si="32"/>
        <v>0</v>
      </c>
      <c r="AY22" s="204">
        <f t="shared" si="15"/>
        <v>0</v>
      </c>
      <c r="AZ22" s="214">
        <f t="shared" si="33"/>
        <v>100</v>
      </c>
      <c r="BA22" s="98">
        <f t="shared" si="34"/>
        <v>68.98</v>
      </c>
      <c r="BB22" s="204">
        <f t="shared" si="16"/>
        <v>1580.33</v>
      </c>
      <c r="BD22" s="335" t="str">
        <f t="shared" si="35"/>
        <v>2.1</v>
      </c>
      <c r="BE22" s="334">
        <f t="shared" si="36"/>
        <v>25.201000000000001</v>
      </c>
      <c r="BF22" s="333"/>
      <c r="BG22" s="333"/>
      <c r="BH22" s="333"/>
      <c r="BI22" s="333"/>
      <c r="BJ22" s="333"/>
      <c r="BK22" s="333"/>
      <c r="BL22" s="333"/>
    </row>
    <row r="23" spans="1:64" s="3" customFormat="1" ht="15" x14ac:dyDescent="0.2">
      <c r="A23" s="39" t="s">
        <v>131</v>
      </c>
      <c r="B23" s="338" t="s">
        <v>132</v>
      </c>
      <c r="C23" s="28" t="s">
        <v>133</v>
      </c>
      <c r="D23" s="58" t="s">
        <v>134</v>
      </c>
      <c r="E23" s="28" t="s">
        <v>98</v>
      </c>
      <c r="F23" s="339">
        <v>9.26</v>
      </c>
      <c r="G23" s="37">
        <f>'Quat Const.'!F13</f>
        <v>1429.47</v>
      </c>
      <c r="H23" s="242">
        <f t="shared" si="17"/>
        <v>1429.47</v>
      </c>
      <c r="I23" s="37">
        <f t="shared" si="0"/>
        <v>0</v>
      </c>
      <c r="J23" s="37">
        <f t="shared" si="18"/>
        <v>11.65</v>
      </c>
      <c r="K23" s="288">
        <f t="shared" si="1"/>
        <v>16653.32</v>
      </c>
      <c r="L23" s="38">
        <f t="shared" si="37"/>
        <v>0</v>
      </c>
      <c r="M23" s="213">
        <f t="shared" si="19"/>
        <v>0</v>
      </c>
      <c r="N23" s="98"/>
      <c r="O23" s="98">
        <f t="shared" si="3"/>
        <v>0</v>
      </c>
      <c r="P23" s="214">
        <f t="shared" si="20"/>
        <v>0</v>
      </c>
      <c r="Q23" s="98"/>
      <c r="R23" s="98">
        <f t="shared" si="4"/>
        <v>0</v>
      </c>
      <c r="S23" s="214">
        <f t="shared" si="21"/>
        <v>0</v>
      </c>
      <c r="T23" s="98"/>
      <c r="U23" s="98">
        <f t="shared" si="5"/>
        <v>0</v>
      </c>
      <c r="V23" s="214">
        <f t="shared" si="22"/>
        <v>0</v>
      </c>
      <c r="W23" s="98"/>
      <c r="X23" s="98">
        <f t="shared" si="6"/>
        <v>0</v>
      </c>
      <c r="Y23" s="214">
        <f t="shared" si="23"/>
        <v>0</v>
      </c>
      <c r="Z23" s="98"/>
      <c r="AA23" s="98">
        <f t="shared" si="7"/>
        <v>0</v>
      </c>
      <c r="AB23" s="214">
        <f t="shared" si="24"/>
        <v>0</v>
      </c>
      <c r="AC23" s="98"/>
      <c r="AD23" s="98">
        <f t="shared" si="8"/>
        <v>0</v>
      </c>
      <c r="AE23" s="214">
        <f t="shared" si="25"/>
        <v>0</v>
      </c>
      <c r="AF23" s="98"/>
      <c r="AG23" s="98">
        <f t="shared" si="9"/>
        <v>0</v>
      </c>
      <c r="AH23" s="214">
        <f t="shared" si="26"/>
        <v>0</v>
      </c>
      <c r="AI23" s="98"/>
      <c r="AJ23" s="98">
        <f t="shared" si="10"/>
        <v>0</v>
      </c>
      <c r="AK23" s="214">
        <f t="shared" si="27"/>
        <v>0</v>
      </c>
      <c r="AL23" s="98"/>
      <c r="AM23" s="98">
        <f t="shared" si="11"/>
        <v>0</v>
      </c>
      <c r="AN23" s="214">
        <f t="shared" si="28"/>
        <v>0</v>
      </c>
      <c r="AO23" s="98"/>
      <c r="AP23" s="98">
        <f t="shared" si="12"/>
        <v>0</v>
      </c>
      <c r="AQ23" s="214">
        <f t="shared" si="29"/>
        <v>0</v>
      </c>
      <c r="AR23" s="98"/>
      <c r="AS23" s="98">
        <f t="shared" si="13"/>
        <v>0</v>
      </c>
      <c r="AT23" s="214">
        <f t="shared" si="30"/>
        <v>0</v>
      </c>
      <c r="AU23" s="98"/>
      <c r="AV23" s="215">
        <f t="shared" si="14"/>
        <v>0</v>
      </c>
      <c r="AW23" s="214">
        <f t="shared" si="31"/>
        <v>0</v>
      </c>
      <c r="AX23" s="98">
        <f t="shared" si="32"/>
        <v>0</v>
      </c>
      <c r="AY23" s="204">
        <f t="shared" si="15"/>
        <v>0</v>
      </c>
      <c r="AZ23" s="214">
        <f t="shared" si="33"/>
        <v>100</v>
      </c>
      <c r="BA23" s="98">
        <f t="shared" si="34"/>
        <v>1429.47</v>
      </c>
      <c r="BB23" s="204">
        <f t="shared" si="16"/>
        <v>16653.32</v>
      </c>
      <c r="BD23" s="335" t="str">
        <f t="shared" si="35"/>
        <v>2.2</v>
      </c>
      <c r="BE23" s="334">
        <f t="shared" si="36"/>
        <v>12.815000000000001</v>
      </c>
      <c r="BF23" s="333"/>
      <c r="BG23" s="333"/>
      <c r="BH23" s="333"/>
      <c r="BI23" s="333"/>
      <c r="BJ23" s="333"/>
      <c r="BK23" s="333"/>
      <c r="BL23" s="333"/>
    </row>
    <row r="24" spans="1:64" s="3" customFormat="1" ht="15" x14ac:dyDescent="0.2">
      <c r="A24" s="39" t="s">
        <v>135</v>
      </c>
      <c r="B24" s="338" t="s">
        <v>136</v>
      </c>
      <c r="C24" s="28" t="s">
        <v>137</v>
      </c>
      <c r="D24" s="58" t="s">
        <v>138</v>
      </c>
      <c r="E24" s="28" t="s">
        <v>98</v>
      </c>
      <c r="F24" s="339">
        <v>3.62</v>
      </c>
      <c r="G24" s="37">
        <f>'Quat Const.'!F14</f>
        <v>1429.47</v>
      </c>
      <c r="H24" s="242">
        <f t="shared" si="17"/>
        <v>1429.47</v>
      </c>
      <c r="I24" s="37">
        <f>H24-G24</f>
        <v>0</v>
      </c>
      <c r="J24" s="37">
        <f>ROUND((F24*(1+$K$8))*(1+$G$8),2)</f>
        <v>4.55</v>
      </c>
      <c r="K24" s="288">
        <f>TRUNC(J24*G24,2)</f>
        <v>6504.08</v>
      </c>
      <c r="L24" s="38">
        <f>TRUNC(J24*I24,2)</f>
        <v>0</v>
      </c>
      <c r="M24" s="213">
        <f>N24/$H24*100</f>
        <v>0</v>
      </c>
      <c r="N24" s="98"/>
      <c r="O24" s="98">
        <f t="shared" si="3"/>
        <v>0</v>
      </c>
      <c r="P24" s="214">
        <f>Q24/$H24*100</f>
        <v>0</v>
      </c>
      <c r="Q24" s="98"/>
      <c r="R24" s="98">
        <f t="shared" si="4"/>
        <v>0</v>
      </c>
      <c r="S24" s="214">
        <f>T24/$H24*100</f>
        <v>0</v>
      </c>
      <c r="T24" s="98"/>
      <c r="U24" s="98">
        <f t="shared" si="5"/>
        <v>0</v>
      </c>
      <c r="V24" s="214">
        <f>W24/$H24*100</f>
        <v>0</v>
      </c>
      <c r="W24" s="98"/>
      <c r="X24" s="98">
        <f t="shared" si="6"/>
        <v>0</v>
      </c>
      <c r="Y24" s="214">
        <f>Z24/$H24*100</f>
        <v>0</v>
      </c>
      <c r="Z24" s="98"/>
      <c r="AA24" s="98">
        <f t="shared" si="7"/>
        <v>0</v>
      </c>
      <c r="AB24" s="214">
        <f>AC24/$H24*100</f>
        <v>0</v>
      </c>
      <c r="AC24" s="98"/>
      <c r="AD24" s="98">
        <f t="shared" si="8"/>
        <v>0</v>
      </c>
      <c r="AE24" s="214">
        <f>AF24/$H24*100</f>
        <v>0</v>
      </c>
      <c r="AF24" s="98"/>
      <c r="AG24" s="98">
        <f t="shared" si="9"/>
        <v>0</v>
      </c>
      <c r="AH24" s="214">
        <f>AI24/$H24*100</f>
        <v>0</v>
      </c>
      <c r="AI24" s="98"/>
      <c r="AJ24" s="98">
        <f t="shared" si="10"/>
        <v>0</v>
      </c>
      <c r="AK24" s="214">
        <f>AL24/$H24*100</f>
        <v>0</v>
      </c>
      <c r="AL24" s="98"/>
      <c r="AM24" s="98">
        <f t="shared" si="11"/>
        <v>0</v>
      </c>
      <c r="AN24" s="214">
        <f>AO24/$H24*100</f>
        <v>0</v>
      </c>
      <c r="AO24" s="98"/>
      <c r="AP24" s="98">
        <f t="shared" si="12"/>
        <v>0</v>
      </c>
      <c r="AQ24" s="214">
        <f>AR24/$H24*100</f>
        <v>0</v>
      </c>
      <c r="AR24" s="98"/>
      <c r="AS24" s="98">
        <f t="shared" si="13"/>
        <v>0</v>
      </c>
      <c r="AT24" s="214">
        <f>AU24/$H24*100</f>
        <v>0</v>
      </c>
      <c r="AU24" s="98"/>
      <c r="AV24" s="215">
        <f t="shared" si="14"/>
        <v>0</v>
      </c>
      <c r="AW24" s="214">
        <f>AX24/$H24*100</f>
        <v>0</v>
      </c>
      <c r="AX24" s="98">
        <f>Q24+N24+T24+W24+Z24+AC24+AF24+AI24+AL24+AO24+AR24+AU24</f>
        <v>0</v>
      </c>
      <c r="AY24" s="204">
        <f t="shared" si="15"/>
        <v>0</v>
      </c>
      <c r="AZ24" s="214">
        <f>BA24/$H24*100</f>
        <v>100</v>
      </c>
      <c r="BA24" s="98">
        <f>H24-AX24</f>
        <v>1429.47</v>
      </c>
      <c r="BB24" s="204">
        <f t="shared" si="16"/>
        <v>6504.08</v>
      </c>
      <c r="BD24" s="335" t="str">
        <f>A24</f>
        <v>2.3</v>
      </c>
      <c r="BE24" s="334">
        <f>J24+J24*$BE$11</f>
        <v>5.0049999999999999</v>
      </c>
      <c r="BF24" s="333"/>
      <c r="BG24" s="333"/>
      <c r="BH24" s="333"/>
      <c r="BI24" s="333"/>
      <c r="BJ24" s="333"/>
      <c r="BK24" s="333"/>
      <c r="BL24" s="333"/>
    </row>
    <row r="25" spans="1:64" s="3" customFormat="1" ht="15" x14ac:dyDescent="0.2">
      <c r="A25" s="39" t="s">
        <v>139</v>
      </c>
      <c r="B25" s="338" t="s">
        <v>140</v>
      </c>
      <c r="C25" s="28" t="s">
        <v>141</v>
      </c>
      <c r="D25" s="58" t="s">
        <v>142</v>
      </c>
      <c r="E25" s="28" t="s">
        <v>98</v>
      </c>
      <c r="F25" s="339">
        <v>3.02</v>
      </c>
      <c r="G25" s="37">
        <f>'Quat Const.'!F15</f>
        <v>189.24</v>
      </c>
      <c r="H25" s="242">
        <f t="shared" si="17"/>
        <v>189.24</v>
      </c>
      <c r="I25" s="37">
        <f t="shared" si="0"/>
        <v>0</v>
      </c>
      <c r="J25" s="37">
        <f t="shared" si="18"/>
        <v>3.8</v>
      </c>
      <c r="K25" s="288">
        <f t="shared" si="1"/>
        <v>719.11</v>
      </c>
      <c r="L25" s="38">
        <f t="shared" si="37"/>
        <v>0</v>
      </c>
      <c r="M25" s="213">
        <f t="shared" si="19"/>
        <v>0</v>
      </c>
      <c r="N25" s="98"/>
      <c r="O25" s="98">
        <f t="shared" si="3"/>
        <v>0</v>
      </c>
      <c r="P25" s="214">
        <f t="shared" si="20"/>
        <v>0</v>
      </c>
      <c r="Q25" s="98"/>
      <c r="R25" s="98">
        <f t="shared" si="4"/>
        <v>0</v>
      </c>
      <c r="S25" s="214">
        <f t="shared" si="21"/>
        <v>0</v>
      </c>
      <c r="T25" s="98"/>
      <c r="U25" s="98">
        <f t="shared" si="5"/>
        <v>0</v>
      </c>
      <c r="V25" s="214">
        <f t="shared" si="22"/>
        <v>0</v>
      </c>
      <c r="W25" s="98"/>
      <c r="X25" s="98">
        <f t="shared" si="6"/>
        <v>0</v>
      </c>
      <c r="Y25" s="214">
        <f t="shared" si="23"/>
        <v>0</v>
      </c>
      <c r="Z25" s="98"/>
      <c r="AA25" s="98">
        <f t="shared" si="7"/>
        <v>0</v>
      </c>
      <c r="AB25" s="214">
        <f t="shared" si="24"/>
        <v>0</v>
      </c>
      <c r="AC25" s="98"/>
      <c r="AD25" s="98">
        <f t="shared" si="8"/>
        <v>0</v>
      </c>
      <c r="AE25" s="214">
        <f t="shared" si="25"/>
        <v>0</v>
      </c>
      <c r="AF25" s="98"/>
      <c r="AG25" s="98">
        <f t="shared" si="9"/>
        <v>0</v>
      </c>
      <c r="AH25" s="214">
        <f t="shared" si="26"/>
        <v>0</v>
      </c>
      <c r="AI25" s="98"/>
      <c r="AJ25" s="98">
        <f t="shared" si="10"/>
        <v>0</v>
      </c>
      <c r="AK25" s="214">
        <f t="shared" si="27"/>
        <v>0</v>
      </c>
      <c r="AL25" s="98"/>
      <c r="AM25" s="98">
        <f t="shared" si="11"/>
        <v>0</v>
      </c>
      <c r="AN25" s="214">
        <f t="shared" si="28"/>
        <v>0</v>
      </c>
      <c r="AO25" s="98"/>
      <c r="AP25" s="98">
        <f t="shared" si="12"/>
        <v>0</v>
      </c>
      <c r="AQ25" s="214">
        <f t="shared" si="29"/>
        <v>0</v>
      </c>
      <c r="AR25" s="98"/>
      <c r="AS25" s="98">
        <f t="shared" si="13"/>
        <v>0</v>
      </c>
      <c r="AT25" s="214">
        <f t="shared" si="30"/>
        <v>0</v>
      </c>
      <c r="AU25" s="98"/>
      <c r="AV25" s="215">
        <f t="shared" si="14"/>
        <v>0</v>
      </c>
      <c r="AW25" s="214">
        <f t="shared" si="31"/>
        <v>0</v>
      </c>
      <c r="AX25" s="98">
        <f t="shared" si="32"/>
        <v>0</v>
      </c>
      <c r="AY25" s="204">
        <f t="shared" si="15"/>
        <v>0</v>
      </c>
      <c r="AZ25" s="214">
        <f t="shared" si="33"/>
        <v>100</v>
      </c>
      <c r="BA25" s="98">
        <f t="shared" si="34"/>
        <v>189.24</v>
      </c>
      <c r="BB25" s="204">
        <f t="shared" si="16"/>
        <v>719.11</v>
      </c>
      <c r="BD25" s="335" t="str">
        <f>A25</f>
        <v>2.4</v>
      </c>
      <c r="BE25" s="334">
        <f>J25+J25*$BE$11</f>
        <v>4.18</v>
      </c>
      <c r="BF25" s="333"/>
      <c r="BG25" s="333"/>
      <c r="BH25" s="333"/>
      <c r="BI25" s="333"/>
      <c r="BJ25" s="333"/>
      <c r="BK25" s="333"/>
      <c r="BL25" s="333"/>
    </row>
    <row r="26" spans="1:64" s="3" customFormat="1" ht="15" x14ac:dyDescent="0.2">
      <c r="A26" s="39" t="s">
        <v>143</v>
      </c>
      <c r="B26" s="338" t="s">
        <v>144</v>
      </c>
      <c r="C26" s="28" t="s">
        <v>145</v>
      </c>
      <c r="D26" s="58" t="s">
        <v>146</v>
      </c>
      <c r="E26" s="28" t="s">
        <v>98</v>
      </c>
      <c r="F26" s="339">
        <v>4.8499999999999996</v>
      </c>
      <c r="G26" s="37">
        <f>'Quat Const.'!F16</f>
        <v>1.68</v>
      </c>
      <c r="H26" s="242">
        <f t="shared" si="17"/>
        <v>1.68</v>
      </c>
      <c r="I26" s="37">
        <f>H26-G26</f>
        <v>0</v>
      </c>
      <c r="J26" s="37">
        <f>ROUND((F26*(1+$K$8))*(1+$G$8),2)</f>
        <v>6.1</v>
      </c>
      <c r="K26" s="288">
        <f>TRUNC(J26*G26,2)</f>
        <v>10.24</v>
      </c>
      <c r="L26" s="38">
        <f>TRUNC(J26*I26,2)</f>
        <v>0</v>
      </c>
      <c r="M26" s="213">
        <f>N26/$H26*100</f>
        <v>0</v>
      </c>
      <c r="N26" s="98"/>
      <c r="O26" s="98">
        <f t="shared" si="3"/>
        <v>0</v>
      </c>
      <c r="P26" s="214">
        <f>Q26/$H26*100</f>
        <v>0</v>
      </c>
      <c r="Q26" s="98"/>
      <c r="R26" s="98">
        <f t="shared" si="4"/>
        <v>0</v>
      </c>
      <c r="S26" s="214">
        <f>T26/$H26*100</f>
        <v>0</v>
      </c>
      <c r="T26" s="98"/>
      <c r="U26" s="98">
        <f t="shared" si="5"/>
        <v>0</v>
      </c>
      <c r="V26" s="214">
        <f>W26/$H26*100</f>
        <v>0</v>
      </c>
      <c r="W26" s="98"/>
      <c r="X26" s="98">
        <f t="shared" si="6"/>
        <v>0</v>
      </c>
      <c r="Y26" s="214">
        <f>Z26/$H26*100</f>
        <v>0</v>
      </c>
      <c r="Z26" s="98"/>
      <c r="AA26" s="98">
        <f t="shared" si="7"/>
        <v>0</v>
      </c>
      <c r="AB26" s="214">
        <f>AC26/$H26*100</f>
        <v>0</v>
      </c>
      <c r="AC26" s="98"/>
      <c r="AD26" s="98">
        <f t="shared" si="8"/>
        <v>0</v>
      </c>
      <c r="AE26" s="214">
        <f>AF26/$H26*100</f>
        <v>0</v>
      </c>
      <c r="AF26" s="98"/>
      <c r="AG26" s="98">
        <f t="shared" si="9"/>
        <v>0</v>
      </c>
      <c r="AH26" s="214">
        <f>AI26/$H26*100</f>
        <v>0</v>
      </c>
      <c r="AI26" s="98"/>
      <c r="AJ26" s="98">
        <f t="shared" si="10"/>
        <v>0</v>
      </c>
      <c r="AK26" s="214">
        <f>AL26/$H26*100</f>
        <v>0</v>
      </c>
      <c r="AL26" s="98"/>
      <c r="AM26" s="98">
        <f t="shared" si="11"/>
        <v>0</v>
      </c>
      <c r="AN26" s="214">
        <f>AO26/$H26*100</f>
        <v>0</v>
      </c>
      <c r="AO26" s="98"/>
      <c r="AP26" s="98">
        <f t="shared" si="12"/>
        <v>0</v>
      </c>
      <c r="AQ26" s="214">
        <f>AR26/$H26*100</f>
        <v>0</v>
      </c>
      <c r="AR26" s="98"/>
      <c r="AS26" s="98">
        <f t="shared" si="13"/>
        <v>0</v>
      </c>
      <c r="AT26" s="214">
        <f>AU26/$H26*100</f>
        <v>0</v>
      </c>
      <c r="AU26" s="98"/>
      <c r="AV26" s="215">
        <f t="shared" si="14"/>
        <v>0</v>
      </c>
      <c r="AW26" s="214">
        <f>AX26/$H26*100</f>
        <v>0</v>
      </c>
      <c r="AX26" s="98">
        <f>Q26+N26+T26+W26+Z26+AC26+AF26+AI26+AL26+AO26+AR26+AU26</f>
        <v>0</v>
      </c>
      <c r="AY26" s="204">
        <f t="shared" si="15"/>
        <v>0</v>
      </c>
      <c r="AZ26" s="214">
        <f>BA26/$H26*100</f>
        <v>100</v>
      </c>
      <c r="BA26" s="98">
        <f>H26-AX26</f>
        <v>1.68</v>
      </c>
      <c r="BB26" s="204">
        <f t="shared" si="16"/>
        <v>10.24</v>
      </c>
      <c r="BD26" s="335" t="str">
        <f>A26</f>
        <v>2.5</v>
      </c>
      <c r="BE26" s="334">
        <f>J26+J26*$BE$11</f>
        <v>6.71</v>
      </c>
      <c r="BF26" s="333"/>
      <c r="BG26" s="333"/>
      <c r="BH26" s="333"/>
      <c r="BI26" s="333"/>
      <c r="BJ26" s="333"/>
      <c r="BK26" s="333"/>
      <c r="BL26" s="333"/>
    </row>
    <row r="27" spans="1:64" s="3" customFormat="1" ht="15" x14ac:dyDescent="0.2">
      <c r="A27" s="39" t="s">
        <v>147</v>
      </c>
      <c r="B27" s="338" t="s">
        <v>148</v>
      </c>
      <c r="C27" s="28" t="s">
        <v>149</v>
      </c>
      <c r="D27" s="58" t="s">
        <v>150</v>
      </c>
      <c r="E27" s="28" t="s">
        <v>98</v>
      </c>
      <c r="F27" s="339">
        <v>3.02</v>
      </c>
      <c r="G27" s="37">
        <f>'Quat Const.'!F17</f>
        <v>459.4</v>
      </c>
      <c r="H27" s="242">
        <f t="shared" si="17"/>
        <v>459.4</v>
      </c>
      <c r="I27" s="37">
        <f t="shared" si="0"/>
        <v>0</v>
      </c>
      <c r="J27" s="37">
        <f t="shared" si="18"/>
        <v>3.8</v>
      </c>
      <c r="K27" s="288">
        <f t="shared" si="1"/>
        <v>1745.72</v>
      </c>
      <c r="L27" s="38">
        <f t="shared" ref="L27:L32" si="38">TRUNC(J27*I27,2)</f>
        <v>0</v>
      </c>
      <c r="M27" s="213">
        <f t="shared" si="19"/>
        <v>0</v>
      </c>
      <c r="N27" s="98"/>
      <c r="O27" s="98">
        <f t="shared" si="3"/>
        <v>0</v>
      </c>
      <c r="P27" s="214">
        <f t="shared" si="20"/>
        <v>0</v>
      </c>
      <c r="Q27" s="98"/>
      <c r="R27" s="98">
        <f t="shared" si="4"/>
        <v>0</v>
      </c>
      <c r="S27" s="214">
        <f t="shared" si="21"/>
        <v>0</v>
      </c>
      <c r="T27" s="98"/>
      <c r="U27" s="98">
        <f t="shared" si="5"/>
        <v>0</v>
      </c>
      <c r="V27" s="214">
        <f t="shared" si="22"/>
        <v>0</v>
      </c>
      <c r="W27" s="98"/>
      <c r="X27" s="98">
        <f t="shared" si="6"/>
        <v>0</v>
      </c>
      <c r="Y27" s="214">
        <f t="shared" si="23"/>
        <v>0</v>
      </c>
      <c r="Z27" s="98"/>
      <c r="AA27" s="98">
        <f t="shared" si="7"/>
        <v>0</v>
      </c>
      <c r="AB27" s="214">
        <f t="shared" si="24"/>
        <v>0</v>
      </c>
      <c r="AC27" s="98"/>
      <c r="AD27" s="98">
        <f t="shared" si="8"/>
        <v>0</v>
      </c>
      <c r="AE27" s="214">
        <f t="shared" si="25"/>
        <v>0</v>
      </c>
      <c r="AF27" s="98"/>
      <c r="AG27" s="98">
        <f t="shared" si="9"/>
        <v>0</v>
      </c>
      <c r="AH27" s="214">
        <f t="shared" si="26"/>
        <v>0</v>
      </c>
      <c r="AI27" s="98"/>
      <c r="AJ27" s="98">
        <f t="shared" si="10"/>
        <v>0</v>
      </c>
      <c r="AK27" s="214">
        <f t="shared" si="27"/>
        <v>0</v>
      </c>
      <c r="AL27" s="98"/>
      <c r="AM27" s="98">
        <f t="shared" si="11"/>
        <v>0</v>
      </c>
      <c r="AN27" s="214">
        <f t="shared" si="28"/>
        <v>0</v>
      </c>
      <c r="AO27" s="98"/>
      <c r="AP27" s="98">
        <f t="shared" si="12"/>
        <v>0</v>
      </c>
      <c r="AQ27" s="214">
        <f t="shared" si="29"/>
        <v>0</v>
      </c>
      <c r="AR27" s="98"/>
      <c r="AS27" s="98">
        <f t="shared" si="13"/>
        <v>0</v>
      </c>
      <c r="AT27" s="214">
        <f t="shared" si="30"/>
        <v>0</v>
      </c>
      <c r="AU27" s="98"/>
      <c r="AV27" s="215">
        <f t="shared" si="14"/>
        <v>0</v>
      </c>
      <c r="AW27" s="214">
        <f t="shared" si="31"/>
        <v>0</v>
      </c>
      <c r="AX27" s="98">
        <f t="shared" si="32"/>
        <v>0</v>
      </c>
      <c r="AY27" s="204">
        <f t="shared" si="15"/>
        <v>0</v>
      </c>
      <c r="AZ27" s="214">
        <f t="shared" si="33"/>
        <v>100</v>
      </c>
      <c r="BA27" s="98">
        <f t="shared" si="34"/>
        <v>459.4</v>
      </c>
      <c r="BB27" s="204">
        <f t="shared" si="16"/>
        <v>1745.72</v>
      </c>
    </row>
    <row r="28" spans="1:64" s="3" customFormat="1" ht="15" x14ac:dyDescent="0.2">
      <c r="A28" s="39" t="s">
        <v>151</v>
      </c>
      <c r="B28" s="338" t="s">
        <v>152</v>
      </c>
      <c r="C28" s="28" t="s">
        <v>153</v>
      </c>
      <c r="D28" s="58" t="s">
        <v>154</v>
      </c>
      <c r="E28" s="28" t="s">
        <v>98</v>
      </c>
      <c r="F28" s="339">
        <v>15.17</v>
      </c>
      <c r="G28" s="37">
        <f>'Quat Const.'!F18</f>
        <v>64</v>
      </c>
      <c r="H28" s="242">
        <f t="shared" si="17"/>
        <v>64</v>
      </c>
      <c r="I28" s="37">
        <f t="shared" si="0"/>
        <v>0</v>
      </c>
      <c r="J28" s="37">
        <f t="shared" si="18"/>
        <v>19.09</v>
      </c>
      <c r="K28" s="288">
        <f t="shared" si="1"/>
        <v>1221.76</v>
      </c>
      <c r="L28" s="38">
        <f t="shared" si="38"/>
        <v>0</v>
      </c>
      <c r="M28" s="213">
        <f t="shared" si="19"/>
        <v>0</v>
      </c>
      <c r="N28" s="98"/>
      <c r="O28" s="98">
        <f t="shared" si="3"/>
        <v>0</v>
      </c>
      <c r="P28" s="214">
        <f t="shared" si="20"/>
        <v>0</v>
      </c>
      <c r="Q28" s="98"/>
      <c r="R28" s="98">
        <f t="shared" si="4"/>
        <v>0</v>
      </c>
      <c r="S28" s="214">
        <f t="shared" si="21"/>
        <v>0</v>
      </c>
      <c r="T28" s="98"/>
      <c r="U28" s="98">
        <f t="shared" si="5"/>
        <v>0</v>
      </c>
      <c r="V28" s="214">
        <f t="shared" si="22"/>
        <v>0</v>
      </c>
      <c r="W28" s="98"/>
      <c r="X28" s="98">
        <f t="shared" si="6"/>
        <v>0</v>
      </c>
      <c r="Y28" s="214">
        <f t="shared" si="23"/>
        <v>0</v>
      </c>
      <c r="Z28" s="98"/>
      <c r="AA28" s="98">
        <f t="shared" si="7"/>
        <v>0</v>
      </c>
      <c r="AB28" s="214">
        <f t="shared" si="24"/>
        <v>0</v>
      </c>
      <c r="AC28" s="98"/>
      <c r="AD28" s="98">
        <f t="shared" si="8"/>
        <v>0</v>
      </c>
      <c r="AE28" s="214">
        <f t="shared" si="25"/>
        <v>0</v>
      </c>
      <c r="AF28" s="98"/>
      <c r="AG28" s="98">
        <f t="shared" si="9"/>
        <v>0</v>
      </c>
      <c r="AH28" s="214">
        <f t="shared" si="26"/>
        <v>0</v>
      </c>
      <c r="AI28" s="98"/>
      <c r="AJ28" s="98">
        <f t="shared" si="10"/>
        <v>0</v>
      </c>
      <c r="AK28" s="214">
        <f t="shared" si="27"/>
        <v>0</v>
      </c>
      <c r="AL28" s="98"/>
      <c r="AM28" s="98">
        <f t="shared" si="11"/>
        <v>0</v>
      </c>
      <c r="AN28" s="214">
        <f t="shared" si="28"/>
        <v>0</v>
      </c>
      <c r="AO28" s="98"/>
      <c r="AP28" s="98">
        <f t="shared" si="12"/>
        <v>0</v>
      </c>
      <c r="AQ28" s="214">
        <f t="shared" si="29"/>
        <v>0</v>
      </c>
      <c r="AR28" s="98"/>
      <c r="AS28" s="98">
        <f t="shared" si="13"/>
        <v>0</v>
      </c>
      <c r="AT28" s="214">
        <f t="shared" si="30"/>
        <v>0</v>
      </c>
      <c r="AU28" s="98"/>
      <c r="AV28" s="215">
        <f t="shared" si="14"/>
        <v>0</v>
      </c>
      <c r="AW28" s="214">
        <f t="shared" si="31"/>
        <v>0</v>
      </c>
      <c r="AX28" s="98">
        <f t="shared" si="32"/>
        <v>0</v>
      </c>
      <c r="AY28" s="204">
        <f t="shared" si="15"/>
        <v>0</v>
      </c>
      <c r="AZ28" s="214">
        <f t="shared" si="33"/>
        <v>100</v>
      </c>
      <c r="BA28" s="98">
        <f t="shared" si="34"/>
        <v>64</v>
      </c>
      <c r="BB28" s="204">
        <f t="shared" si="16"/>
        <v>1221.76</v>
      </c>
    </row>
    <row r="29" spans="1:64" s="3" customFormat="1" ht="15" x14ac:dyDescent="0.2">
      <c r="A29" s="39" t="s">
        <v>155</v>
      </c>
      <c r="B29" s="338" t="s">
        <v>156</v>
      </c>
      <c r="C29" s="28" t="s">
        <v>157</v>
      </c>
      <c r="D29" s="58" t="s">
        <v>158</v>
      </c>
      <c r="E29" s="28" t="s">
        <v>98</v>
      </c>
      <c r="F29" s="339">
        <v>7.88</v>
      </c>
      <c r="G29" s="37">
        <f>'Quat Const.'!F19</f>
        <v>436.12</v>
      </c>
      <c r="H29" s="242">
        <f t="shared" si="17"/>
        <v>436.12</v>
      </c>
      <c r="I29" s="37">
        <f t="shared" si="0"/>
        <v>0</v>
      </c>
      <c r="J29" s="37">
        <f>ROUND((F29*(1+$K$8))*(1+$G$8),2)</f>
        <v>9.91</v>
      </c>
      <c r="K29" s="288">
        <f t="shared" si="1"/>
        <v>4321.9399999999996</v>
      </c>
      <c r="L29" s="38">
        <f t="shared" si="38"/>
        <v>0</v>
      </c>
      <c r="M29" s="213">
        <f t="shared" si="19"/>
        <v>0</v>
      </c>
      <c r="N29" s="98"/>
      <c r="O29" s="98">
        <f t="shared" si="3"/>
        <v>0</v>
      </c>
      <c r="P29" s="214">
        <f t="shared" si="20"/>
        <v>0</v>
      </c>
      <c r="Q29" s="98"/>
      <c r="R29" s="98">
        <f t="shared" si="4"/>
        <v>0</v>
      </c>
      <c r="S29" s="214">
        <f t="shared" si="21"/>
        <v>0</v>
      </c>
      <c r="T29" s="98"/>
      <c r="U29" s="98">
        <f t="shared" si="5"/>
        <v>0</v>
      </c>
      <c r="V29" s="214">
        <f t="shared" si="22"/>
        <v>0</v>
      </c>
      <c r="W29" s="98"/>
      <c r="X29" s="98">
        <f t="shared" si="6"/>
        <v>0</v>
      </c>
      <c r="Y29" s="214">
        <f t="shared" si="23"/>
        <v>0</v>
      </c>
      <c r="Z29" s="98"/>
      <c r="AA29" s="98">
        <f t="shared" si="7"/>
        <v>0</v>
      </c>
      <c r="AB29" s="214">
        <f t="shared" si="24"/>
        <v>0</v>
      </c>
      <c r="AC29" s="98"/>
      <c r="AD29" s="98">
        <f t="shared" si="8"/>
        <v>0</v>
      </c>
      <c r="AE29" s="214">
        <f t="shared" si="25"/>
        <v>0</v>
      </c>
      <c r="AF29" s="98"/>
      <c r="AG29" s="98">
        <f t="shared" si="9"/>
        <v>0</v>
      </c>
      <c r="AH29" s="214">
        <f t="shared" si="26"/>
        <v>0</v>
      </c>
      <c r="AI29" s="98"/>
      <c r="AJ29" s="98">
        <f t="shared" si="10"/>
        <v>0</v>
      </c>
      <c r="AK29" s="214">
        <f t="shared" si="27"/>
        <v>0</v>
      </c>
      <c r="AL29" s="98"/>
      <c r="AM29" s="98">
        <f t="shared" si="11"/>
        <v>0</v>
      </c>
      <c r="AN29" s="214">
        <f t="shared" si="28"/>
        <v>0</v>
      </c>
      <c r="AO29" s="98"/>
      <c r="AP29" s="98">
        <f t="shared" si="12"/>
        <v>0</v>
      </c>
      <c r="AQ29" s="214">
        <f t="shared" si="29"/>
        <v>0</v>
      </c>
      <c r="AR29" s="98"/>
      <c r="AS29" s="98">
        <f t="shared" si="13"/>
        <v>0</v>
      </c>
      <c r="AT29" s="214">
        <f t="shared" si="30"/>
        <v>0</v>
      </c>
      <c r="AU29" s="98"/>
      <c r="AV29" s="215">
        <f t="shared" si="14"/>
        <v>0</v>
      </c>
      <c r="AW29" s="214">
        <f t="shared" si="31"/>
        <v>0</v>
      </c>
      <c r="AX29" s="98">
        <f t="shared" si="32"/>
        <v>0</v>
      </c>
      <c r="AY29" s="204">
        <f t="shared" si="15"/>
        <v>0</v>
      </c>
      <c r="AZ29" s="214">
        <f t="shared" si="33"/>
        <v>100</v>
      </c>
      <c r="BA29" s="98">
        <f t="shared" si="34"/>
        <v>436.12</v>
      </c>
      <c r="BB29" s="204">
        <f t="shared" si="16"/>
        <v>4321.9399999999996</v>
      </c>
    </row>
    <row r="30" spans="1:64" s="3" customFormat="1" ht="15" x14ac:dyDescent="0.2">
      <c r="A30" s="39" t="s">
        <v>159</v>
      </c>
      <c r="B30" s="338" t="s">
        <v>160</v>
      </c>
      <c r="C30" s="28" t="s">
        <v>161</v>
      </c>
      <c r="D30" s="58" t="s">
        <v>162</v>
      </c>
      <c r="E30" s="28" t="s">
        <v>98</v>
      </c>
      <c r="F30" s="339">
        <v>4.24</v>
      </c>
      <c r="G30" s="37">
        <f>'Quat Const.'!F20</f>
        <v>202.15</v>
      </c>
      <c r="H30" s="242">
        <f t="shared" si="17"/>
        <v>202.15</v>
      </c>
      <c r="I30" s="37">
        <f t="shared" si="0"/>
        <v>0</v>
      </c>
      <c r="J30" s="37">
        <f t="shared" si="18"/>
        <v>5.33</v>
      </c>
      <c r="K30" s="288">
        <f t="shared" si="1"/>
        <v>1077.45</v>
      </c>
      <c r="L30" s="38">
        <f t="shared" si="38"/>
        <v>0</v>
      </c>
      <c r="M30" s="213">
        <f t="shared" si="19"/>
        <v>0</v>
      </c>
      <c r="N30" s="98"/>
      <c r="O30" s="98">
        <f t="shared" si="3"/>
        <v>0</v>
      </c>
      <c r="P30" s="214">
        <f t="shared" si="20"/>
        <v>0</v>
      </c>
      <c r="Q30" s="98"/>
      <c r="R30" s="98">
        <f t="shared" si="4"/>
        <v>0</v>
      </c>
      <c r="S30" s="214">
        <f t="shared" si="21"/>
        <v>0</v>
      </c>
      <c r="T30" s="98"/>
      <c r="U30" s="98">
        <f t="shared" si="5"/>
        <v>0</v>
      </c>
      <c r="V30" s="214">
        <f t="shared" si="22"/>
        <v>0</v>
      </c>
      <c r="W30" s="98"/>
      <c r="X30" s="98">
        <f t="shared" si="6"/>
        <v>0</v>
      </c>
      <c r="Y30" s="214">
        <f t="shared" si="23"/>
        <v>0</v>
      </c>
      <c r="Z30" s="98"/>
      <c r="AA30" s="98">
        <f t="shared" si="7"/>
        <v>0</v>
      </c>
      <c r="AB30" s="214">
        <f t="shared" si="24"/>
        <v>0</v>
      </c>
      <c r="AC30" s="98"/>
      <c r="AD30" s="98">
        <f t="shared" si="8"/>
        <v>0</v>
      </c>
      <c r="AE30" s="214">
        <f t="shared" si="25"/>
        <v>0</v>
      </c>
      <c r="AF30" s="98"/>
      <c r="AG30" s="98">
        <f t="shared" si="9"/>
        <v>0</v>
      </c>
      <c r="AH30" s="214">
        <f t="shared" si="26"/>
        <v>0</v>
      </c>
      <c r="AI30" s="98"/>
      <c r="AJ30" s="98">
        <f t="shared" si="10"/>
        <v>0</v>
      </c>
      <c r="AK30" s="214">
        <f t="shared" si="27"/>
        <v>0</v>
      </c>
      <c r="AL30" s="98"/>
      <c r="AM30" s="98">
        <f t="shared" si="11"/>
        <v>0</v>
      </c>
      <c r="AN30" s="214">
        <f t="shared" si="28"/>
        <v>0</v>
      </c>
      <c r="AO30" s="98"/>
      <c r="AP30" s="98">
        <f t="shared" si="12"/>
        <v>0</v>
      </c>
      <c r="AQ30" s="214">
        <f t="shared" si="29"/>
        <v>0</v>
      </c>
      <c r="AR30" s="98"/>
      <c r="AS30" s="98">
        <f t="shared" si="13"/>
        <v>0</v>
      </c>
      <c r="AT30" s="214">
        <f t="shared" si="30"/>
        <v>0</v>
      </c>
      <c r="AU30" s="98"/>
      <c r="AV30" s="215">
        <f t="shared" si="14"/>
        <v>0</v>
      </c>
      <c r="AW30" s="214">
        <f t="shared" si="31"/>
        <v>0</v>
      </c>
      <c r="AX30" s="98">
        <f t="shared" si="32"/>
        <v>0</v>
      </c>
      <c r="AY30" s="204">
        <f t="shared" si="15"/>
        <v>0</v>
      </c>
      <c r="AZ30" s="214">
        <f t="shared" si="33"/>
        <v>100</v>
      </c>
      <c r="BA30" s="98">
        <f t="shared" si="34"/>
        <v>202.15</v>
      </c>
      <c r="BB30" s="204">
        <f t="shared" si="16"/>
        <v>1077.45</v>
      </c>
    </row>
    <row r="31" spans="1:64" s="3" customFormat="1" ht="15" x14ac:dyDescent="0.2">
      <c r="A31" s="39" t="s">
        <v>163</v>
      </c>
      <c r="B31" s="338" t="s">
        <v>164</v>
      </c>
      <c r="C31" s="28" t="s">
        <v>165</v>
      </c>
      <c r="D31" s="58" t="s">
        <v>166</v>
      </c>
      <c r="E31" s="28" t="s">
        <v>98</v>
      </c>
      <c r="F31" s="339">
        <v>8.49</v>
      </c>
      <c r="G31" s="37">
        <f>'Quat Const.'!F21</f>
        <v>543.99</v>
      </c>
      <c r="H31" s="242">
        <f t="shared" si="17"/>
        <v>543.99</v>
      </c>
      <c r="I31" s="37">
        <f t="shared" si="0"/>
        <v>0</v>
      </c>
      <c r="J31" s="37">
        <f t="shared" si="18"/>
        <v>10.68</v>
      </c>
      <c r="K31" s="288">
        <f t="shared" si="1"/>
        <v>5809.81</v>
      </c>
      <c r="L31" s="38">
        <f t="shared" si="38"/>
        <v>0</v>
      </c>
      <c r="M31" s="213">
        <f t="shared" si="19"/>
        <v>0</v>
      </c>
      <c r="N31" s="98"/>
      <c r="O31" s="98">
        <f t="shared" si="3"/>
        <v>0</v>
      </c>
      <c r="P31" s="214">
        <f t="shared" si="20"/>
        <v>0</v>
      </c>
      <c r="Q31" s="98"/>
      <c r="R31" s="98">
        <f t="shared" si="4"/>
        <v>0</v>
      </c>
      <c r="S31" s="214">
        <f t="shared" si="21"/>
        <v>0</v>
      </c>
      <c r="T31" s="98"/>
      <c r="U31" s="98">
        <f t="shared" si="5"/>
        <v>0</v>
      </c>
      <c r="V31" s="214">
        <f t="shared" si="22"/>
        <v>0</v>
      </c>
      <c r="W31" s="98"/>
      <c r="X31" s="98">
        <f t="shared" si="6"/>
        <v>0</v>
      </c>
      <c r="Y31" s="214">
        <f t="shared" si="23"/>
        <v>0</v>
      </c>
      <c r="Z31" s="98"/>
      <c r="AA31" s="98">
        <f t="shared" si="7"/>
        <v>0</v>
      </c>
      <c r="AB31" s="214">
        <f t="shared" si="24"/>
        <v>0</v>
      </c>
      <c r="AC31" s="98"/>
      <c r="AD31" s="98">
        <f t="shared" si="8"/>
        <v>0</v>
      </c>
      <c r="AE31" s="214">
        <f t="shared" si="25"/>
        <v>0</v>
      </c>
      <c r="AF31" s="98"/>
      <c r="AG31" s="98">
        <f t="shared" si="9"/>
        <v>0</v>
      </c>
      <c r="AH31" s="214">
        <f t="shared" si="26"/>
        <v>0</v>
      </c>
      <c r="AI31" s="98"/>
      <c r="AJ31" s="98">
        <f t="shared" si="10"/>
        <v>0</v>
      </c>
      <c r="AK31" s="214">
        <f t="shared" si="27"/>
        <v>0</v>
      </c>
      <c r="AL31" s="98"/>
      <c r="AM31" s="98">
        <f t="shared" si="11"/>
        <v>0</v>
      </c>
      <c r="AN31" s="214">
        <f t="shared" si="28"/>
        <v>0</v>
      </c>
      <c r="AO31" s="98"/>
      <c r="AP31" s="98">
        <f t="shared" si="12"/>
        <v>0</v>
      </c>
      <c r="AQ31" s="214">
        <f t="shared" si="29"/>
        <v>0</v>
      </c>
      <c r="AR31" s="98"/>
      <c r="AS31" s="98">
        <f t="shared" si="13"/>
        <v>0</v>
      </c>
      <c r="AT31" s="214">
        <f t="shared" si="30"/>
        <v>0</v>
      </c>
      <c r="AU31" s="98"/>
      <c r="AV31" s="215">
        <f t="shared" si="14"/>
        <v>0</v>
      </c>
      <c r="AW31" s="214">
        <f t="shared" si="31"/>
        <v>0</v>
      </c>
      <c r="AX31" s="98">
        <f t="shared" si="32"/>
        <v>0</v>
      </c>
      <c r="AY31" s="204">
        <f t="shared" si="15"/>
        <v>0</v>
      </c>
      <c r="AZ31" s="214">
        <f t="shared" si="33"/>
        <v>100</v>
      </c>
      <c r="BA31" s="98">
        <f t="shared" si="34"/>
        <v>543.99</v>
      </c>
      <c r="BB31" s="204">
        <f t="shared" si="16"/>
        <v>5809.81</v>
      </c>
    </row>
    <row r="32" spans="1:64" s="3" customFormat="1" ht="15" x14ac:dyDescent="0.2">
      <c r="A32" s="39" t="s">
        <v>167</v>
      </c>
      <c r="B32" s="338" t="s">
        <v>168</v>
      </c>
      <c r="C32" s="28" t="s">
        <v>169</v>
      </c>
      <c r="D32" s="58" t="s">
        <v>170</v>
      </c>
      <c r="E32" s="28" t="s">
        <v>98</v>
      </c>
      <c r="F32" s="339">
        <v>2.9</v>
      </c>
      <c r="G32" s="37">
        <f>'Quat Const.'!F22</f>
        <v>350.54</v>
      </c>
      <c r="H32" s="242">
        <f t="shared" si="17"/>
        <v>350.54</v>
      </c>
      <c r="I32" s="37">
        <f t="shared" si="0"/>
        <v>0</v>
      </c>
      <c r="J32" s="37">
        <f t="shared" si="18"/>
        <v>3.65</v>
      </c>
      <c r="K32" s="288">
        <f t="shared" si="1"/>
        <v>1279.47</v>
      </c>
      <c r="L32" s="38">
        <f t="shared" si="38"/>
        <v>0</v>
      </c>
      <c r="M32" s="213">
        <f t="shared" si="19"/>
        <v>0</v>
      </c>
      <c r="N32" s="98"/>
      <c r="O32" s="98">
        <f t="shared" si="3"/>
        <v>0</v>
      </c>
      <c r="P32" s="214">
        <f t="shared" si="20"/>
        <v>0</v>
      </c>
      <c r="Q32" s="98"/>
      <c r="R32" s="98">
        <f t="shared" si="4"/>
        <v>0</v>
      </c>
      <c r="S32" s="214">
        <f t="shared" si="21"/>
        <v>0</v>
      </c>
      <c r="T32" s="98"/>
      <c r="U32" s="98">
        <f t="shared" si="5"/>
        <v>0</v>
      </c>
      <c r="V32" s="214">
        <f t="shared" si="22"/>
        <v>0</v>
      </c>
      <c r="W32" s="98"/>
      <c r="X32" s="98">
        <f t="shared" si="6"/>
        <v>0</v>
      </c>
      <c r="Y32" s="214">
        <f t="shared" si="23"/>
        <v>0</v>
      </c>
      <c r="Z32" s="98"/>
      <c r="AA32" s="98">
        <f t="shared" si="7"/>
        <v>0</v>
      </c>
      <c r="AB32" s="214">
        <f t="shared" si="24"/>
        <v>0</v>
      </c>
      <c r="AC32" s="98"/>
      <c r="AD32" s="98">
        <f t="shared" si="8"/>
        <v>0</v>
      </c>
      <c r="AE32" s="214">
        <f t="shared" si="25"/>
        <v>0</v>
      </c>
      <c r="AF32" s="98"/>
      <c r="AG32" s="98">
        <f t="shared" si="9"/>
        <v>0</v>
      </c>
      <c r="AH32" s="214">
        <f t="shared" si="26"/>
        <v>0</v>
      </c>
      <c r="AI32" s="98"/>
      <c r="AJ32" s="98">
        <f t="shared" si="10"/>
        <v>0</v>
      </c>
      <c r="AK32" s="214">
        <f t="shared" si="27"/>
        <v>0</v>
      </c>
      <c r="AL32" s="98"/>
      <c r="AM32" s="98">
        <f t="shared" si="11"/>
        <v>0</v>
      </c>
      <c r="AN32" s="214">
        <f t="shared" si="28"/>
        <v>0</v>
      </c>
      <c r="AO32" s="98"/>
      <c r="AP32" s="98">
        <f t="shared" si="12"/>
        <v>0</v>
      </c>
      <c r="AQ32" s="214">
        <f t="shared" si="29"/>
        <v>0</v>
      </c>
      <c r="AR32" s="98"/>
      <c r="AS32" s="98">
        <f t="shared" si="13"/>
        <v>0</v>
      </c>
      <c r="AT32" s="214">
        <f t="shared" si="30"/>
        <v>0</v>
      </c>
      <c r="AU32" s="98"/>
      <c r="AV32" s="215">
        <f t="shared" si="14"/>
        <v>0</v>
      </c>
      <c r="AW32" s="214">
        <f t="shared" si="31"/>
        <v>0</v>
      </c>
      <c r="AX32" s="98">
        <f t="shared" si="32"/>
        <v>0</v>
      </c>
      <c r="AY32" s="204">
        <f t="shared" si="15"/>
        <v>0</v>
      </c>
      <c r="AZ32" s="214">
        <f t="shared" si="33"/>
        <v>100</v>
      </c>
      <c r="BA32" s="98">
        <f t="shared" si="34"/>
        <v>350.54</v>
      </c>
      <c r="BB32" s="204">
        <f t="shared" si="16"/>
        <v>1279.47</v>
      </c>
    </row>
    <row r="33" spans="1:54" s="3" customFormat="1" ht="15" customHeight="1" x14ac:dyDescent="0.2">
      <c r="A33" s="39"/>
      <c r="B33" s="40"/>
      <c r="C33" s="40"/>
      <c r="D33" s="41"/>
      <c r="E33" s="42"/>
      <c r="F33" s="37"/>
      <c r="G33" s="37"/>
      <c r="H33" s="642" t="s">
        <v>125</v>
      </c>
      <c r="I33" s="642"/>
      <c r="J33" s="642"/>
      <c r="K33" s="172">
        <f>SUM(K22:K32)</f>
        <v>40923.230000000003</v>
      </c>
      <c r="L33" s="172">
        <f>SUM(L22:L32)</f>
        <v>0</v>
      </c>
      <c r="M33" s="648" t="s">
        <v>125</v>
      </c>
      <c r="N33" s="642"/>
      <c r="O33" s="172">
        <f>SUM(O22:O32)</f>
        <v>0</v>
      </c>
      <c r="P33" s="641" t="s">
        <v>125</v>
      </c>
      <c r="Q33" s="642"/>
      <c r="R33" s="172">
        <f>SUM(R22:R32)</f>
        <v>0</v>
      </c>
      <c r="S33" s="641" t="s">
        <v>125</v>
      </c>
      <c r="T33" s="642"/>
      <c r="U33" s="172">
        <f>SUM(U22:U32)</f>
        <v>0</v>
      </c>
      <c r="V33" s="641" t="s">
        <v>125</v>
      </c>
      <c r="W33" s="642"/>
      <c r="X33" s="172">
        <f>SUM(X22:X32)</f>
        <v>0</v>
      </c>
      <c r="Y33" s="641" t="s">
        <v>125</v>
      </c>
      <c r="Z33" s="642"/>
      <c r="AA33" s="172">
        <f>SUM(AA22:AA32)</f>
        <v>0</v>
      </c>
      <c r="AB33" s="641" t="s">
        <v>125</v>
      </c>
      <c r="AC33" s="642"/>
      <c r="AD33" s="172">
        <f>SUM(AD22:AD32)</f>
        <v>0</v>
      </c>
      <c r="AE33" s="641" t="s">
        <v>125</v>
      </c>
      <c r="AF33" s="642"/>
      <c r="AG33" s="172">
        <f>SUM(AG22:AG32)</f>
        <v>0</v>
      </c>
      <c r="AH33" s="641" t="s">
        <v>125</v>
      </c>
      <c r="AI33" s="642"/>
      <c r="AJ33" s="172">
        <f>SUM(AJ22:AJ32)</f>
        <v>0</v>
      </c>
      <c r="AK33" s="641" t="s">
        <v>125</v>
      </c>
      <c r="AL33" s="642"/>
      <c r="AM33" s="172">
        <f>SUM(AM22:AM32)</f>
        <v>0</v>
      </c>
      <c r="AN33" s="641" t="s">
        <v>125</v>
      </c>
      <c r="AO33" s="642"/>
      <c r="AP33" s="172">
        <f>SUM(AP22:AP32)</f>
        <v>0</v>
      </c>
      <c r="AQ33" s="641" t="s">
        <v>125</v>
      </c>
      <c r="AR33" s="642"/>
      <c r="AS33" s="172">
        <f>SUM(AS22:AS32)</f>
        <v>0</v>
      </c>
      <c r="AT33" s="641" t="s">
        <v>125</v>
      </c>
      <c r="AU33" s="642"/>
      <c r="AV33" s="172">
        <f>SUM(AV22:AV32)</f>
        <v>0</v>
      </c>
      <c r="AW33" s="641" t="s">
        <v>125</v>
      </c>
      <c r="AX33" s="642"/>
      <c r="AY33" s="172">
        <f>SUM(AY22:AY32)</f>
        <v>0</v>
      </c>
      <c r="AZ33" s="641" t="s">
        <v>125</v>
      </c>
      <c r="BA33" s="642"/>
      <c r="BB33" s="172">
        <f>SUM(BB22:BB32)</f>
        <v>40923.230000000003</v>
      </c>
    </row>
    <row r="34" spans="1:54" s="3" customFormat="1" ht="15" x14ac:dyDescent="0.2">
      <c r="A34" s="34" t="s">
        <v>171</v>
      </c>
      <c r="B34" s="46"/>
      <c r="C34" s="46"/>
      <c r="D34" s="27" t="s">
        <v>172</v>
      </c>
      <c r="E34" s="45"/>
      <c r="F34" s="37"/>
      <c r="G34" s="385"/>
      <c r="H34" s="255"/>
      <c r="I34" s="385"/>
      <c r="J34" s="385"/>
      <c r="K34" s="172"/>
      <c r="L34" s="172"/>
      <c r="M34" s="213"/>
      <c r="N34" s="98"/>
      <c r="O34" s="98"/>
      <c r="P34" s="214"/>
      <c r="Q34" s="98"/>
      <c r="R34" s="98"/>
      <c r="S34" s="214"/>
      <c r="T34" s="98"/>
      <c r="U34" s="98"/>
      <c r="V34" s="214"/>
      <c r="W34" s="98"/>
      <c r="X34" s="98"/>
      <c r="Y34" s="214"/>
      <c r="Z34" s="98"/>
      <c r="AA34" s="98"/>
      <c r="AB34" s="214"/>
      <c r="AC34" s="98"/>
      <c r="AD34" s="98"/>
      <c r="AE34" s="214"/>
      <c r="AF34" s="98"/>
      <c r="AG34" s="98"/>
      <c r="AH34" s="214"/>
      <c r="AI34" s="98"/>
      <c r="AJ34" s="98"/>
      <c r="AK34" s="214"/>
      <c r="AL34" s="98"/>
      <c r="AM34" s="98"/>
      <c r="AN34" s="214"/>
      <c r="AO34" s="98"/>
      <c r="AP34" s="98"/>
      <c r="AQ34" s="214"/>
      <c r="AR34" s="98"/>
      <c r="AS34" s="98"/>
      <c r="AT34" s="214"/>
      <c r="AU34" s="98"/>
      <c r="AV34" s="215"/>
      <c r="AW34" s="216"/>
      <c r="AX34" s="98"/>
      <c r="AY34" s="204"/>
      <c r="AZ34" s="216"/>
      <c r="BA34" s="98"/>
      <c r="BB34" s="204"/>
    </row>
    <row r="35" spans="1:54" s="3" customFormat="1" ht="15" x14ac:dyDescent="0.2">
      <c r="A35" s="39" t="s">
        <v>173</v>
      </c>
      <c r="B35" s="338" t="s">
        <v>174</v>
      </c>
      <c r="C35" s="28" t="s">
        <v>175</v>
      </c>
      <c r="D35" s="58" t="s">
        <v>176</v>
      </c>
      <c r="E35" s="28" t="s">
        <v>119</v>
      </c>
      <c r="F35" s="339">
        <v>20.56</v>
      </c>
      <c r="G35" s="44">
        <f>'Quat Const.'!F25</f>
        <v>72.430000000000007</v>
      </c>
      <c r="H35" s="256">
        <f t="shared" ref="H35:H41" si="39">G35</f>
        <v>72.430000000000007</v>
      </c>
      <c r="I35" s="37">
        <f t="shared" ref="I35:I41" si="40">H35-G35</f>
        <v>0</v>
      </c>
      <c r="J35" s="37">
        <f t="shared" ref="J35:J41" si="41">ROUND((F35*(1+$K$8))*(1+$G$8),2)</f>
        <v>25.87</v>
      </c>
      <c r="K35" s="288">
        <f t="shared" ref="K35:K41" si="42">TRUNC(J35*G35,2)</f>
        <v>1873.76</v>
      </c>
      <c r="L35" s="38">
        <f t="shared" si="37"/>
        <v>0</v>
      </c>
      <c r="M35" s="213">
        <f t="shared" ref="M35:M41" si="43">N35/$H35*100</f>
        <v>0</v>
      </c>
      <c r="N35" s="98"/>
      <c r="O35" s="98">
        <f t="shared" ref="O35:O41" si="44">TRUNC(N35*$J35,2)</f>
        <v>0</v>
      </c>
      <c r="P35" s="214">
        <f t="shared" ref="P35:P41" si="45">Q35/$H35*100</f>
        <v>0</v>
      </c>
      <c r="Q35" s="98"/>
      <c r="R35" s="98">
        <f t="shared" ref="R35:R41" si="46">TRUNC(Q35*$J35,2)</f>
        <v>0</v>
      </c>
      <c r="S35" s="214">
        <f t="shared" ref="S35:S41" si="47">T35/$H35*100</f>
        <v>0</v>
      </c>
      <c r="T35" s="98"/>
      <c r="U35" s="98">
        <f t="shared" ref="U35:U41" si="48">TRUNC(T35*$J35,2)</f>
        <v>0</v>
      </c>
      <c r="V35" s="214">
        <f t="shared" ref="V35:V41" si="49">W35/$H35*100</f>
        <v>0</v>
      </c>
      <c r="W35" s="98"/>
      <c r="X35" s="98">
        <f t="shared" ref="X35:X41" si="50">TRUNC(W35*$J35,2)</f>
        <v>0</v>
      </c>
      <c r="Y35" s="214">
        <f t="shared" ref="Y35:Y41" si="51">Z35/$H35*100</f>
        <v>0</v>
      </c>
      <c r="Z35" s="98"/>
      <c r="AA35" s="98">
        <f t="shared" ref="AA35:AA41" si="52">TRUNC(Z35*$J35,2)</f>
        <v>0</v>
      </c>
      <c r="AB35" s="214">
        <f t="shared" ref="AB35:AB41" si="53">AC35/$H35*100</f>
        <v>0</v>
      </c>
      <c r="AC35" s="98"/>
      <c r="AD35" s="98">
        <f t="shared" ref="AD35:AD41" si="54">TRUNC(AC35*$J35,2)</f>
        <v>0</v>
      </c>
      <c r="AE35" s="214">
        <f t="shared" ref="AE35:AE41" si="55">AF35/$H35*100</f>
        <v>0</v>
      </c>
      <c r="AF35" s="98"/>
      <c r="AG35" s="98">
        <f t="shared" ref="AG35:AG41" si="56">TRUNC(AF35*$J35,2)</f>
        <v>0</v>
      </c>
      <c r="AH35" s="214">
        <f t="shared" ref="AH35:AH41" si="57">AI35/$H35*100</f>
        <v>0</v>
      </c>
      <c r="AI35" s="98"/>
      <c r="AJ35" s="98">
        <f t="shared" ref="AJ35:AJ41" si="58">TRUNC(AI35*$J35,2)</f>
        <v>0</v>
      </c>
      <c r="AK35" s="214">
        <f t="shared" ref="AK35:AK41" si="59">AL35/$H35*100</f>
        <v>0</v>
      </c>
      <c r="AL35" s="98"/>
      <c r="AM35" s="98">
        <f t="shared" ref="AM35:AM41" si="60">TRUNC(AL35*$J35,2)</f>
        <v>0</v>
      </c>
      <c r="AN35" s="214">
        <f t="shared" ref="AN35:AN41" si="61">AO35/$H35*100</f>
        <v>0</v>
      </c>
      <c r="AO35" s="98"/>
      <c r="AP35" s="98">
        <f t="shared" ref="AP35:AP41" si="62">TRUNC(AO35*$J35,2)</f>
        <v>0</v>
      </c>
      <c r="AQ35" s="214">
        <f t="shared" ref="AQ35:AQ41" si="63">AR35/$H35*100</f>
        <v>0</v>
      </c>
      <c r="AR35" s="98"/>
      <c r="AS35" s="98">
        <f t="shared" ref="AS35:AS41" si="64">TRUNC(AR35*$J35,2)</f>
        <v>0</v>
      </c>
      <c r="AT35" s="214">
        <f t="shared" ref="AT35:AT41" si="65">AU35/$H35*100</f>
        <v>0</v>
      </c>
      <c r="AU35" s="98"/>
      <c r="AV35" s="215">
        <f t="shared" ref="AV35:AV41" si="66">TRUNC(AU35*$J35,2)</f>
        <v>0</v>
      </c>
      <c r="AW35" s="214">
        <f t="shared" ref="AW35:AW41" si="67">AX35/$H35*100</f>
        <v>0</v>
      </c>
      <c r="AX35" s="98">
        <f t="shared" ref="AX35:AX41" si="68">Q35+N35+T35+W35+Z35+AC35+AF35+AI35+AL35+AO35+AR35+AU35</f>
        <v>0</v>
      </c>
      <c r="AY35" s="204">
        <f t="shared" ref="AY35:AY41" si="69">TRUNC(AX35*$J35,2)</f>
        <v>0</v>
      </c>
      <c r="AZ35" s="214">
        <f t="shared" ref="AZ35:AZ41" si="70">BA35/$H35*100</f>
        <v>100</v>
      </c>
      <c r="BA35" s="98">
        <f t="shared" ref="BA35:BA41" si="71">H35-AX35</f>
        <v>72.430000000000007</v>
      </c>
      <c r="BB35" s="204">
        <f t="shared" ref="BB35:BB41" si="72">TRUNC(BA35*$J35,2)</f>
        <v>1873.76</v>
      </c>
    </row>
    <row r="36" spans="1:54" s="3" customFormat="1" ht="15" x14ac:dyDescent="0.2">
      <c r="A36" s="39" t="s">
        <v>177</v>
      </c>
      <c r="B36" s="338" t="s">
        <v>178</v>
      </c>
      <c r="C36" s="28" t="s">
        <v>179</v>
      </c>
      <c r="D36" s="58" t="s">
        <v>180</v>
      </c>
      <c r="E36" s="28" t="s">
        <v>98</v>
      </c>
      <c r="F36" s="339">
        <v>7.7</v>
      </c>
      <c r="G36" s="44">
        <f>'Quat Const.'!F26</f>
        <v>47.54</v>
      </c>
      <c r="H36" s="256">
        <f t="shared" si="39"/>
        <v>47.54</v>
      </c>
      <c r="I36" s="37">
        <f t="shared" si="40"/>
        <v>0</v>
      </c>
      <c r="J36" s="37">
        <f t="shared" si="41"/>
        <v>9.69</v>
      </c>
      <c r="K36" s="288">
        <f t="shared" si="42"/>
        <v>460.66</v>
      </c>
      <c r="L36" s="38">
        <f t="shared" si="37"/>
        <v>0</v>
      </c>
      <c r="M36" s="213">
        <f t="shared" si="43"/>
        <v>0</v>
      </c>
      <c r="N36" s="98"/>
      <c r="O36" s="98">
        <f t="shared" si="44"/>
        <v>0</v>
      </c>
      <c r="P36" s="214">
        <f t="shared" si="45"/>
        <v>0</v>
      </c>
      <c r="Q36" s="98"/>
      <c r="R36" s="98">
        <f t="shared" si="46"/>
        <v>0</v>
      </c>
      <c r="S36" s="214">
        <f t="shared" si="47"/>
        <v>0</v>
      </c>
      <c r="T36" s="98"/>
      <c r="U36" s="98">
        <f t="shared" si="48"/>
        <v>0</v>
      </c>
      <c r="V36" s="214">
        <f t="shared" si="49"/>
        <v>0</v>
      </c>
      <c r="W36" s="98"/>
      <c r="X36" s="98">
        <f t="shared" si="50"/>
        <v>0</v>
      </c>
      <c r="Y36" s="214">
        <f t="shared" si="51"/>
        <v>0</v>
      </c>
      <c r="Z36" s="98"/>
      <c r="AA36" s="98">
        <f t="shared" si="52"/>
        <v>0</v>
      </c>
      <c r="AB36" s="214">
        <f t="shared" si="53"/>
        <v>0</v>
      </c>
      <c r="AC36" s="98"/>
      <c r="AD36" s="98">
        <f t="shared" si="54"/>
        <v>0</v>
      </c>
      <c r="AE36" s="214">
        <f t="shared" si="55"/>
        <v>0</v>
      </c>
      <c r="AF36" s="98"/>
      <c r="AG36" s="98">
        <f t="shared" si="56"/>
        <v>0</v>
      </c>
      <c r="AH36" s="214">
        <f t="shared" si="57"/>
        <v>0</v>
      </c>
      <c r="AI36" s="98"/>
      <c r="AJ36" s="98">
        <f t="shared" si="58"/>
        <v>0</v>
      </c>
      <c r="AK36" s="214">
        <f t="shared" si="59"/>
        <v>0</v>
      </c>
      <c r="AL36" s="98"/>
      <c r="AM36" s="98">
        <f t="shared" si="60"/>
        <v>0</v>
      </c>
      <c r="AN36" s="214">
        <f t="shared" si="61"/>
        <v>0</v>
      </c>
      <c r="AO36" s="98"/>
      <c r="AP36" s="98">
        <f t="shared" si="62"/>
        <v>0</v>
      </c>
      <c r="AQ36" s="214">
        <f t="shared" si="63"/>
        <v>0</v>
      </c>
      <c r="AR36" s="98"/>
      <c r="AS36" s="98">
        <f t="shared" si="64"/>
        <v>0</v>
      </c>
      <c r="AT36" s="214">
        <f t="shared" si="65"/>
        <v>0</v>
      </c>
      <c r="AU36" s="98"/>
      <c r="AV36" s="215">
        <f t="shared" si="66"/>
        <v>0</v>
      </c>
      <c r="AW36" s="214">
        <f t="shared" si="67"/>
        <v>0</v>
      </c>
      <c r="AX36" s="98">
        <f t="shared" si="68"/>
        <v>0</v>
      </c>
      <c r="AY36" s="204">
        <f t="shared" si="69"/>
        <v>0</v>
      </c>
      <c r="AZ36" s="214">
        <f t="shared" si="70"/>
        <v>100</v>
      </c>
      <c r="BA36" s="98">
        <f t="shared" si="71"/>
        <v>47.54</v>
      </c>
      <c r="BB36" s="204">
        <f t="shared" si="72"/>
        <v>460.66</v>
      </c>
    </row>
    <row r="37" spans="1:54" s="3" customFormat="1" ht="15" x14ac:dyDescent="0.2">
      <c r="A37" s="39" t="s">
        <v>181</v>
      </c>
      <c r="B37" s="37" t="s">
        <v>104</v>
      </c>
      <c r="C37" s="37" t="s">
        <v>104</v>
      </c>
      <c r="D37" s="102" t="s">
        <v>182</v>
      </c>
      <c r="E37" s="28" t="s">
        <v>119</v>
      </c>
      <c r="F37" s="405">
        <f>12.12*1.25</f>
        <v>15.149999999999999</v>
      </c>
      <c r="G37" s="44">
        <f>'Quat Const.'!F27</f>
        <v>189.32</v>
      </c>
      <c r="H37" s="256">
        <f t="shared" si="39"/>
        <v>189.32</v>
      </c>
      <c r="I37" s="37">
        <f>H37-G37</f>
        <v>0</v>
      </c>
      <c r="J37" s="37">
        <f>ROUND((F37*(1+$K$8))*(1+$G$8),2)</f>
        <v>19.059999999999999</v>
      </c>
      <c r="K37" s="288">
        <f>TRUNC(J37*G37,2)</f>
        <v>3608.43</v>
      </c>
      <c r="L37" s="38">
        <f>TRUNC(J37*I37,2)</f>
        <v>0</v>
      </c>
      <c r="M37" s="213">
        <f>N37/$H37*100</f>
        <v>0</v>
      </c>
      <c r="N37" s="98"/>
      <c r="O37" s="98">
        <f t="shared" si="44"/>
        <v>0</v>
      </c>
      <c r="P37" s="214">
        <f>Q37/$H37*100</f>
        <v>0</v>
      </c>
      <c r="Q37" s="98"/>
      <c r="R37" s="98">
        <f t="shared" si="46"/>
        <v>0</v>
      </c>
      <c r="S37" s="214">
        <f>T37/$H37*100</f>
        <v>0</v>
      </c>
      <c r="T37" s="98"/>
      <c r="U37" s="98">
        <f t="shared" si="48"/>
        <v>0</v>
      </c>
      <c r="V37" s="214">
        <f>W37/$H37*100</f>
        <v>0</v>
      </c>
      <c r="W37" s="98"/>
      <c r="X37" s="98">
        <f t="shared" si="50"/>
        <v>0</v>
      </c>
      <c r="Y37" s="214">
        <f>Z37/$H37*100</f>
        <v>0</v>
      </c>
      <c r="Z37" s="98"/>
      <c r="AA37" s="98">
        <f t="shared" si="52"/>
        <v>0</v>
      </c>
      <c r="AB37" s="214">
        <f>AC37/$H37*100</f>
        <v>0</v>
      </c>
      <c r="AC37" s="98"/>
      <c r="AD37" s="98">
        <f t="shared" si="54"/>
        <v>0</v>
      </c>
      <c r="AE37" s="214">
        <f>AF37/$H37*100</f>
        <v>0</v>
      </c>
      <c r="AF37" s="98"/>
      <c r="AG37" s="98">
        <f t="shared" si="56"/>
        <v>0</v>
      </c>
      <c r="AH37" s="214">
        <f>AI37/$H37*100</f>
        <v>0</v>
      </c>
      <c r="AI37" s="98"/>
      <c r="AJ37" s="98">
        <f t="shared" si="58"/>
        <v>0</v>
      </c>
      <c r="AK37" s="214">
        <f>AL37/$H37*100</f>
        <v>0</v>
      </c>
      <c r="AL37" s="98"/>
      <c r="AM37" s="98">
        <f t="shared" si="60"/>
        <v>0</v>
      </c>
      <c r="AN37" s="214">
        <f>AO37/$H37*100</f>
        <v>0</v>
      </c>
      <c r="AO37" s="98"/>
      <c r="AP37" s="98">
        <f t="shared" si="62"/>
        <v>0</v>
      </c>
      <c r="AQ37" s="214">
        <f>AR37/$H37*100</f>
        <v>0</v>
      </c>
      <c r="AR37" s="98"/>
      <c r="AS37" s="98">
        <f t="shared" si="64"/>
        <v>0</v>
      </c>
      <c r="AT37" s="214">
        <f>AU37/$H37*100</f>
        <v>0</v>
      </c>
      <c r="AU37" s="98"/>
      <c r="AV37" s="215">
        <f t="shared" si="66"/>
        <v>0</v>
      </c>
      <c r="AW37" s="214">
        <f>AX37/$H37*100</f>
        <v>0</v>
      </c>
      <c r="AX37" s="98">
        <f>Q37+N37+T37+W37+Z37+AC37+AF37+AI37+AL37+AO37+AR37+AU37</f>
        <v>0</v>
      </c>
      <c r="AY37" s="204">
        <f t="shared" si="69"/>
        <v>0</v>
      </c>
      <c r="AZ37" s="214">
        <f>BA37/$H37*100</f>
        <v>100</v>
      </c>
      <c r="BA37" s="98">
        <f>H37-AX37</f>
        <v>189.32</v>
      </c>
      <c r="BB37" s="204">
        <f t="shared" si="72"/>
        <v>3608.43</v>
      </c>
    </row>
    <row r="38" spans="1:54" s="3" customFormat="1" ht="15" x14ac:dyDescent="0.2">
      <c r="A38" s="39" t="s">
        <v>183</v>
      </c>
      <c r="B38" s="338" t="s">
        <v>184</v>
      </c>
      <c r="C38" s="28" t="s">
        <v>185</v>
      </c>
      <c r="D38" s="58" t="s">
        <v>186</v>
      </c>
      <c r="E38" s="28" t="s">
        <v>119</v>
      </c>
      <c r="F38" s="329">
        <v>3.07</v>
      </c>
      <c r="G38" s="44">
        <f>'Quat Const.'!F28</f>
        <v>189.32</v>
      </c>
      <c r="H38" s="256">
        <f t="shared" si="39"/>
        <v>189.32</v>
      </c>
      <c r="I38" s="37">
        <f t="shared" si="40"/>
        <v>0</v>
      </c>
      <c r="J38" s="37">
        <f t="shared" si="41"/>
        <v>3.86</v>
      </c>
      <c r="K38" s="288">
        <f t="shared" si="42"/>
        <v>730.77</v>
      </c>
      <c r="L38" s="38">
        <f t="shared" si="37"/>
        <v>0</v>
      </c>
      <c r="M38" s="213">
        <f t="shared" si="43"/>
        <v>0</v>
      </c>
      <c r="N38" s="98"/>
      <c r="O38" s="98">
        <f t="shared" si="44"/>
        <v>0</v>
      </c>
      <c r="P38" s="214">
        <f t="shared" si="45"/>
        <v>0</v>
      </c>
      <c r="Q38" s="98"/>
      <c r="R38" s="98">
        <f t="shared" si="46"/>
        <v>0</v>
      </c>
      <c r="S38" s="214">
        <f t="shared" si="47"/>
        <v>0</v>
      </c>
      <c r="T38" s="98"/>
      <c r="U38" s="98">
        <f t="shared" si="48"/>
        <v>0</v>
      </c>
      <c r="V38" s="214">
        <f t="shared" si="49"/>
        <v>0</v>
      </c>
      <c r="W38" s="98"/>
      <c r="X38" s="98">
        <f t="shared" si="50"/>
        <v>0</v>
      </c>
      <c r="Y38" s="214">
        <f t="shared" si="51"/>
        <v>0</v>
      </c>
      <c r="Z38" s="98"/>
      <c r="AA38" s="98">
        <f t="shared" si="52"/>
        <v>0</v>
      </c>
      <c r="AB38" s="214">
        <f t="shared" si="53"/>
        <v>0</v>
      </c>
      <c r="AC38" s="98"/>
      <c r="AD38" s="98">
        <f t="shared" si="54"/>
        <v>0</v>
      </c>
      <c r="AE38" s="214">
        <f t="shared" si="55"/>
        <v>0</v>
      </c>
      <c r="AF38" s="98"/>
      <c r="AG38" s="98">
        <f t="shared" si="56"/>
        <v>0</v>
      </c>
      <c r="AH38" s="214">
        <f t="shared" si="57"/>
        <v>0</v>
      </c>
      <c r="AI38" s="98"/>
      <c r="AJ38" s="98">
        <f t="shared" si="58"/>
        <v>0</v>
      </c>
      <c r="AK38" s="214">
        <f t="shared" si="59"/>
        <v>0</v>
      </c>
      <c r="AL38" s="98"/>
      <c r="AM38" s="98">
        <f t="shared" si="60"/>
        <v>0</v>
      </c>
      <c r="AN38" s="214">
        <f t="shared" si="61"/>
        <v>0</v>
      </c>
      <c r="AO38" s="98"/>
      <c r="AP38" s="98">
        <f t="shared" si="62"/>
        <v>0</v>
      </c>
      <c r="AQ38" s="214">
        <f t="shared" si="63"/>
        <v>0</v>
      </c>
      <c r="AR38" s="98"/>
      <c r="AS38" s="98">
        <f t="shared" si="64"/>
        <v>0</v>
      </c>
      <c r="AT38" s="214">
        <f t="shared" si="65"/>
        <v>0</v>
      </c>
      <c r="AU38" s="98"/>
      <c r="AV38" s="215">
        <f t="shared" si="66"/>
        <v>0</v>
      </c>
      <c r="AW38" s="214">
        <f t="shared" si="67"/>
        <v>0</v>
      </c>
      <c r="AX38" s="98">
        <f t="shared" si="68"/>
        <v>0</v>
      </c>
      <c r="AY38" s="204">
        <f t="shared" si="69"/>
        <v>0</v>
      </c>
      <c r="AZ38" s="214">
        <f t="shared" si="70"/>
        <v>100</v>
      </c>
      <c r="BA38" s="98">
        <f t="shared" si="71"/>
        <v>189.32</v>
      </c>
      <c r="BB38" s="204">
        <f t="shared" si="72"/>
        <v>730.77</v>
      </c>
    </row>
    <row r="39" spans="1:54" s="3" customFormat="1" ht="28.5" x14ac:dyDescent="0.2">
      <c r="A39" s="39" t="s">
        <v>187</v>
      </c>
      <c r="B39" s="338" t="s">
        <v>188</v>
      </c>
      <c r="C39" s="28" t="s">
        <v>189</v>
      </c>
      <c r="D39" s="50" t="s">
        <v>190</v>
      </c>
      <c r="E39" s="28" t="s">
        <v>119</v>
      </c>
      <c r="F39" s="329">
        <v>2.93</v>
      </c>
      <c r="G39" s="44">
        <f>'Quat Const.'!F29</f>
        <v>189.32</v>
      </c>
      <c r="H39" s="256">
        <f t="shared" si="39"/>
        <v>189.32</v>
      </c>
      <c r="I39" s="37">
        <f t="shared" si="40"/>
        <v>0</v>
      </c>
      <c r="J39" s="37">
        <f t="shared" si="41"/>
        <v>3.69</v>
      </c>
      <c r="K39" s="288">
        <f t="shared" si="42"/>
        <v>698.59</v>
      </c>
      <c r="L39" s="38">
        <f>TRUNC(J39*I39,2)</f>
        <v>0</v>
      </c>
      <c r="M39" s="213">
        <f t="shared" si="43"/>
        <v>0</v>
      </c>
      <c r="N39" s="98"/>
      <c r="O39" s="98">
        <f t="shared" si="44"/>
        <v>0</v>
      </c>
      <c r="P39" s="214">
        <f t="shared" si="45"/>
        <v>0</v>
      </c>
      <c r="Q39" s="98"/>
      <c r="R39" s="98">
        <f t="shared" si="46"/>
        <v>0</v>
      </c>
      <c r="S39" s="214">
        <f t="shared" si="47"/>
        <v>0</v>
      </c>
      <c r="T39" s="98"/>
      <c r="U39" s="98">
        <f t="shared" si="48"/>
        <v>0</v>
      </c>
      <c r="V39" s="214">
        <f t="shared" si="49"/>
        <v>0</v>
      </c>
      <c r="W39" s="98"/>
      <c r="X39" s="98">
        <f t="shared" si="50"/>
        <v>0</v>
      </c>
      <c r="Y39" s="214">
        <f t="shared" si="51"/>
        <v>0</v>
      </c>
      <c r="Z39" s="98"/>
      <c r="AA39" s="98">
        <f t="shared" si="52"/>
        <v>0</v>
      </c>
      <c r="AB39" s="214">
        <f t="shared" si="53"/>
        <v>0</v>
      </c>
      <c r="AC39" s="98"/>
      <c r="AD39" s="98">
        <f t="shared" si="54"/>
        <v>0</v>
      </c>
      <c r="AE39" s="214">
        <f t="shared" si="55"/>
        <v>0</v>
      </c>
      <c r="AF39" s="98"/>
      <c r="AG39" s="98">
        <f t="shared" si="56"/>
        <v>0</v>
      </c>
      <c r="AH39" s="214">
        <f t="shared" si="57"/>
        <v>0</v>
      </c>
      <c r="AI39" s="98"/>
      <c r="AJ39" s="98">
        <f t="shared" si="58"/>
        <v>0</v>
      </c>
      <c r="AK39" s="214">
        <f t="shared" si="59"/>
        <v>0</v>
      </c>
      <c r="AL39" s="98"/>
      <c r="AM39" s="98">
        <f t="shared" si="60"/>
        <v>0</v>
      </c>
      <c r="AN39" s="214">
        <f t="shared" si="61"/>
        <v>0</v>
      </c>
      <c r="AO39" s="98"/>
      <c r="AP39" s="98">
        <f t="shared" si="62"/>
        <v>0</v>
      </c>
      <c r="AQ39" s="214">
        <f t="shared" si="63"/>
        <v>0</v>
      </c>
      <c r="AR39" s="98"/>
      <c r="AS39" s="98">
        <f t="shared" si="64"/>
        <v>0</v>
      </c>
      <c r="AT39" s="214">
        <f t="shared" si="65"/>
        <v>0</v>
      </c>
      <c r="AU39" s="98"/>
      <c r="AV39" s="215">
        <f t="shared" si="66"/>
        <v>0</v>
      </c>
      <c r="AW39" s="214">
        <f t="shared" si="67"/>
        <v>0</v>
      </c>
      <c r="AX39" s="98">
        <f t="shared" si="68"/>
        <v>0</v>
      </c>
      <c r="AY39" s="204">
        <f t="shared" si="69"/>
        <v>0</v>
      </c>
      <c r="AZ39" s="214">
        <f t="shared" si="70"/>
        <v>100</v>
      </c>
      <c r="BA39" s="98">
        <f t="shared" si="71"/>
        <v>189.32</v>
      </c>
      <c r="BB39" s="204">
        <f t="shared" si="72"/>
        <v>698.59</v>
      </c>
    </row>
    <row r="40" spans="1:54" s="3" customFormat="1" ht="15" x14ac:dyDescent="0.2">
      <c r="A40" s="39" t="s">
        <v>191</v>
      </c>
      <c r="B40" s="338" t="s">
        <v>192</v>
      </c>
      <c r="C40" s="28" t="s">
        <v>193</v>
      </c>
      <c r="D40" s="58" t="s">
        <v>194</v>
      </c>
      <c r="E40" s="28" t="s">
        <v>119</v>
      </c>
      <c r="F40" s="339">
        <v>2.75</v>
      </c>
      <c r="G40" s="44">
        <f>'Quat Const.'!F30</f>
        <v>189.32</v>
      </c>
      <c r="H40" s="256">
        <f t="shared" si="39"/>
        <v>189.32</v>
      </c>
      <c r="I40" s="37">
        <f t="shared" si="40"/>
        <v>0</v>
      </c>
      <c r="J40" s="37">
        <f t="shared" si="41"/>
        <v>3.46</v>
      </c>
      <c r="K40" s="288">
        <f t="shared" si="42"/>
        <v>655.04</v>
      </c>
      <c r="L40" s="38">
        <f>TRUNC(J40*I40,2)</f>
        <v>0</v>
      </c>
      <c r="M40" s="213">
        <f t="shared" si="43"/>
        <v>0</v>
      </c>
      <c r="N40" s="98"/>
      <c r="O40" s="98">
        <f t="shared" si="44"/>
        <v>0</v>
      </c>
      <c r="P40" s="214">
        <f t="shared" si="45"/>
        <v>0</v>
      </c>
      <c r="Q40" s="98"/>
      <c r="R40" s="98">
        <f t="shared" si="46"/>
        <v>0</v>
      </c>
      <c r="S40" s="214">
        <f t="shared" si="47"/>
        <v>0</v>
      </c>
      <c r="T40" s="98"/>
      <c r="U40" s="98">
        <f t="shared" si="48"/>
        <v>0</v>
      </c>
      <c r="V40" s="214">
        <f t="shared" si="49"/>
        <v>0</v>
      </c>
      <c r="W40" s="98"/>
      <c r="X40" s="98">
        <f t="shared" si="50"/>
        <v>0</v>
      </c>
      <c r="Y40" s="214">
        <f t="shared" si="51"/>
        <v>0</v>
      </c>
      <c r="Z40" s="98"/>
      <c r="AA40" s="98">
        <f t="shared" si="52"/>
        <v>0</v>
      </c>
      <c r="AB40" s="214">
        <f t="shared" si="53"/>
        <v>0</v>
      </c>
      <c r="AC40" s="98"/>
      <c r="AD40" s="98">
        <f t="shared" si="54"/>
        <v>0</v>
      </c>
      <c r="AE40" s="214">
        <f t="shared" si="55"/>
        <v>0</v>
      </c>
      <c r="AF40" s="98"/>
      <c r="AG40" s="98">
        <f t="shared" si="56"/>
        <v>0</v>
      </c>
      <c r="AH40" s="214">
        <f t="shared" si="57"/>
        <v>0</v>
      </c>
      <c r="AI40" s="98"/>
      <c r="AJ40" s="98">
        <f t="shared" si="58"/>
        <v>0</v>
      </c>
      <c r="AK40" s="214">
        <f t="shared" si="59"/>
        <v>0</v>
      </c>
      <c r="AL40" s="98"/>
      <c r="AM40" s="98">
        <f t="shared" si="60"/>
        <v>0</v>
      </c>
      <c r="AN40" s="214">
        <f t="shared" si="61"/>
        <v>0</v>
      </c>
      <c r="AO40" s="98"/>
      <c r="AP40" s="98">
        <f t="shared" si="62"/>
        <v>0</v>
      </c>
      <c r="AQ40" s="214">
        <f t="shared" si="63"/>
        <v>0</v>
      </c>
      <c r="AR40" s="98"/>
      <c r="AS40" s="98">
        <f t="shared" si="64"/>
        <v>0</v>
      </c>
      <c r="AT40" s="214">
        <f t="shared" si="65"/>
        <v>0</v>
      </c>
      <c r="AU40" s="98"/>
      <c r="AV40" s="215">
        <f t="shared" si="66"/>
        <v>0</v>
      </c>
      <c r="AW40" s="214">
        <f t="shared" si="67"/>
        <v>0</v>
      </c>
      <c r="AX40" s="98">
        <f t="shared" si="68"/>
        <v>0</v>
      </c>
      <c r="AY40" s="204">
        <f t="shared" si="69"/>
        <v>0</v>
      </c>
      <c r="AZ40" s="214">
        <f t="shared" si="70"/>
        <v>100</v>
      </c>
      <c r="BA40" s="98">
        <f t="shared" si="71"/>
        <v>189.32</v>
      </c>
      <c r="BB40" s="204">
        <f t="shared" si="72"/>
        <v>655.04</v>
      </c>
    </row>
    <row r="41" spans="1:54" s="3" customFormat="1" ht="15" x14ac:dyDescent="0.2">
      <c r="A41" s="39" t="s">
        <v>195</v>
      </c>
      <c r="B41" s="338" t="s">
        <v>196</v>
      </c>
      <c r="C41" s="28" t="s">
        <v>197</v>
      </c>
      <c r="D41" s="58" t="s">
        <v>198</v>
      </c>
      <c r="E41" s="28" t="s">
        <v>119</v>
      </c>
      <c r="F41" s="339">
        <v>2.31</v>
      </c>
      <c r="G41" s="44">
        <f>'Quat Const.'!F31</f>
        <v>36.22</v>
      </c>
      <c r="H41" s="256">
        <f t="shared" si="39"/>
        <v>36.22</v>
      </c>
      <c r="I41" s="37">
        <f t="shared" si="40"/>
        <v>0</v>
      </c>
      <c r="J41" s="37">
        <f t="shared" si="41"/>
        <v>2.91</v>
      </c>
      <c r="K41" s="288">
        <f t="shared" si="42"/>
        <v>105.4</v>
      </c>
      <c r="L41" s="38">
        <f t="shared" si="37"/>
        <v>0</v>
      </c>
      <c r="M41" s="213">
        <f t="shared" si="43"/>
        <v>0</v>
      </c>
      <c r="N41" s="98"/>
      <c r="O41" s="98">
        <f t="shared" si="44"/>
        <v>0</v>
      </c>
      <c r="P41" s="214">
        <f t="shared" si="45"/>
        <v>0</v>
      </c>
      <c r="Q41" s="98"/>
      <c r="R41" s="98">
        <f t="shared" si="46"/>
        <v>0</v>
      </c>
      <c r="S41" s="214">
        <f t="shared" si="47"/>
        <v>0</v>
      </c>
      <c r="T41" s="98"/>
      <c r="U41" s="98">
        <f t="shared" si="48"/>
        <v>0</v>
      </c>
      <c r="V41" s="214">
        <f t="shared" si="49"/>
        <v>0</v>
      </c>
      <c r="W41" s="98"/>
      <c r="X41" s="98">
        <f t="shared" si="50"/>
        <v>0</v>
      </c>
      <c r="Y41" s="214">
        <f t="shared" si="51"/>
        <v>0</v>
      </c>
      <c r="Z41" s="98"/>
      <c r="AA41" s="98">
        <f t="shared" si="52"/>
        <v>0</v>
      </c>
      <c r="AB41" s="214">
        <f t="shared" si="53"/>
        <v>0</v>
      </c>
      <c r="AC41" s="98"/>
      <c r="AD41" s="98">
        <f t="shared" si="54"/>
        <v>0</v>
      </c>
      <c r="AE41" s="214">
        <f t="shared" si="55"/>
        <v>0</v>
      </c>
      <c r="AF41" s="98"/>
      <c r="AG41" s="98">
        <f t="shared" si="56"/>
        <v>0</v>
      </c>
      <c r="AH41" s="214">
        <f t="shared" si="57"/>
        <v>0</v>
      </c>
      <c r="AI41" s="98"/>
      <c r="AJ41" s="98">
        <f t="shared" si="58"/>
        <v>0</v>
      </c>
      <c r="AK41" s="214">
        <f t="shared" si="59"/>
        <v>0</v>
      </c>
      <c r="AL41" s="98"/>
      <c r="AM41" s="98">
        <f t="shared" si="60"/>
        <v>0</v>
      </c>
      <c r="AN41" s="214">
        <f t="shared" si="61"/>
        <v>0</v>
      </c>
      <c r="AO41" s="98"/>
      <c r="AP41" s="98">
        <f t="shared" si="62"/>
        <v>0</v>
      </c>
      <c r="AQ41" s="214">
        <f t="shared" si="63"/>
        <v>0</v>
      </c>
      <c r="AR41" s="98"/>
      <c r="AS41" s="98">
        <f t="shared" si="64"/>
        <v>0</v>
      </c>
      <c r="AT41" s="214">
        <f t="shared" si="65"/>
        <v>0</v>
      </c>
      <c r="AU41" s="98"/>
      <c r="AV41" s="215">
        <f t="shared" si="66"/>
        <v>0</v>
      </c>
      <c r="AW41" s="214">
        <f t="shared" si="67"/>
        <v>0</v>
      </c>
      <c r="AX41" s="98">
        <f t="shared" si="68"/>
        <v>0</v>
      </c>
      <c r="AY41" s="204">
        <f t="shared" si="69"/>
        <v>0</v>
      </c>
      <c r="AZ41" s="214">
        <f t="shared" si="70"/>
        <v>100</v>
      </c>
      <c r="BA41" s="98">
        <f t="shared" si="71"/>
        <v>36.22</v>
      </c>
      <c r="BB41" s="204">
        <f t="shared" si="72"/>
        <v>105.4</v>
      </c>
    </row>
    <row r="42" spans="1:54" s="3" customFormat="1" ht="15" customHeight="1" x14ac:dyDescent="0.2">
      <c r="A42" s="34"/>
      <c r="B42" s="45"/>
      <c r="C42" s="45"/>
      <c r="D42" s="41"/>
      <c r="E42" s="45"/>
      <c r="F42" s="37"/>
      <c r="G42" s="37"/>
      <c r="H42" s="642" t="s">
        <v>125</v>
      </c>
      <c r="I42" s="642"/>
      <c r="J42" s="642"/>
      <c r="K42" s="172">
        <f>SUM(K35:K41)</f>
        <v>8132.6500000000005</v>
      </c>
      <c r="L42" s="43">
        <f>SUM(L35:L41)</f>
        <v>0</v>
      </c>
      <c r="M42" s="648" t="s">
        <v>125</v>
      </c>
      <c r="N42" s="642"/>
      <c r="O42" s="172">
        <f>SUM(O35:O41)</f>
        <v>0</v>
      </c>
      <c r="P42" s="641" t="s">
        <v>125</v>
      </c>
      <c r="Q42" s="642"/>
      <c r="R42" s="172">
        <f>SUM(R35:R41)</f>
        <v>0</v>
      </c>
      <c r="S42" s="641" t="s">
        <v>125</v>
      </c>
      <c r="T42" s="642"/>
      <c r="U42" s="172">
        <f>SUM(U35:U41)</f>
        <v>0</v>
      </c>
      <c r="V42" s="641" t="s">
        <v>125</v>
      </c>
      <c r="W42" s="642"/>
      <c r="X42" s="172">
        <f>SUM(X35:X41)</f>
        <v>0</v>
      </c>
      <c r="Y42" s="641" t="s">
        <v>125</v>
      </c>
      <c r="Z42" s="642"/>
      <c r="AA42" s="172">
        <f>SUM(AA35:AA41)</f>
        <v>0</v>
      </c>
      <c r="AB42" s="641" t="s">
        <v>125</v>
      </c>
      <c r="AC42" s="642"/>
      <c r="AD42" s="172">
        <f>SUM(AD35:AD41)</f>
        <v>0</v>
      </c>
      <c r="AE42" s="641" t="s">
        <v>125</v>
      </c>
      <c r="AF42" s="642"/>
      <c r="AG42" s="172">
        <f>SUM(AG35:AG41)</f>
        <v>0</v>
      </c>
      <c r="AH42" s="641" t="s">
        <v>125</v>
      </c>
      <c r="AI42" s="642"/>
      <c r="AJ42" s="172">
        <f>SUM(AJ35:AJ41)</f>
        <v>0</v>
      </c>
      <c r="AK42" s="641" t="s">
        <v>125</v>
      </c>
      <c r="AL42" s="642"/>
      <c r="AM42" s="172">
        <f>SUM(AM35:AM41)</f>
        <v>0</v>
      </c>
      <c r="AN42" s="641" t="s">
        <v>125</v>
      </c>
      <c r="AO42" s="642"/>
      <c r="AP42" s="172">
        <f>SUM(AP35:AP41)</f>
        <v>0</v>
      </c>
      <c r="AQ42" s="641" t="s">
        <v>125</v>
      </c>
      <c r="AR42" s="642"/>
      <c r="AS42" s="172">
        <f>SUM(AS35:AS41)</f>
        <v>0</v>
      </c>
      <c r="AT42" s="641" t="s">
        <v>125</v>
      </c>
      <c r="AU42" s="642"/>
      <c r="AV42" s="173">
        <f>SUM(AV35:AV41)</f>
        <v>0</v>
      </c>
      <c r="AW42" s="641" t="s">
        <v>125</v>
      </c>
      <c r="AX42" s="642"/>
      <c r="AY42" s="43">
        <f>SUM(AY35:AY41)</f>
        <v>0</v>
      </c>
      <c r="AZ42" s="641" t="s">
        <v>125</v>
      </c>
      <c r="BA42" s="642"/>
      <c r="BB42" s="43">
        <f>SUM(BB35:BB41)</f>
        <v>8132.6500000000005</v>
      </c>
    </row>
    <row r="43" spans="1:54" s="3" customFormat="1" ht="15" x14ac:dyDescent="0.2">
      <c r="A43" s="34" t="s">
        <v>199</v>
      </c>
      <c r="B43" s="46"/>
      <c r="C43" s="46"/>
      <c r="D43" s="27" t="s">
        <v>200</v>
      </c>
      <c r="E43" s="45"/>
      <c r="F43" s="37"/>
      <c r="G43" s="385"/>
      <c r="H43" s="255"/>
      <c r="I43" s="385"/>
      <c r="J43" s="37"/>
      <c r="K43" s="288"/>
      <c r="L43" s="38"/>
      <c r="M43" s="213"/>
      <c r="N43" s="98"/>
      <c r="O43" s="98"/>
      <c r="P43" s="214"/>
      <c r="Q43" s="98"/>
      <c r="R43" s="98"/>
      <c r="S43" s="214"/>
      <c r="T43" s="98"/>
      <c r="U43" s="98"/>
      <c r="V43" s="214"/>
      <c r="W43" s="98"/>
      <c r="X43" s="98"/>
      <c r="Y43" s="214"/>
      <c r="Z43" s="98"/>
      <c r="AA43" s="98"/>
      <c r="AB43" s="214"/>
      <c r="AC43" s="98"/>
      <c r="AD43" s="98"/>
      <c r="AE43" s="214"/>
      <c r="AF43" s="98"/>
      <c r="AG43" s="98"/>
      <c r="AH43" s="214"/>
      <c r="AI43" s="98"/>
      <c r="AJ43" s="98"/>
      <c r="AK43" s="214"/>
      <c r="AL43" s="98"/>
      <c r="AM43" s="98"/>
      <c r="AN43" s="214"/>
      <c r="AO43" s="98"/>
      <c r="AP43" s="98"/>
      <c r="AQ43" s="214"/>
      <c r="AR43" s="98"/>
      <c r="AS43" s="98"/>
      <c r="AT43" s="214"/>
      <c r="AU43" s="98"/>
      <c r="AV43" s="215"/>
      <c r="AW43" s="214"/>
      <c r="AX43" s="98"/>
      <c r="AY43" s="204"/>
      <c r="AZ43" s="214"/>
      <c r="BA43" s="98"/>
      <c r="BB43" s="204"/>
    </row>
    <row r="44" spans="1:54" s="3" customFormat="1" ht="15" x14ac:dyDescent="0.2">
      <c r="A44" s="39" t="s">
        <v>201</v>
      </c>
      <c r="B44" s="338" t="s">
        <v>202</v>
      </c>
      <c r="C44" s="28" t="s">
        <v>203</v>
      </c>
      <c r="D44" s="58" t="s">
        <v>204</v>
      </c>
      <c r="E44" s="28" t="s">
        <v>119</v>
      </c>
      <c r="F44" s="339">
        <v>251.87</v>
      </c>
      <c r="G44" s="44">
        <f>'Quat Const.'!F34</f>
        <v>2.38</v>
      </c>
      <c r="H44" s="256">
        <f t="shared" ref="H44:H49" si="73">G44</f>
        <v>2.38</v>
      </c>
      <c r="I44" s="37">
        <f t="shared" ref="I44:I49" si="74">H44-G44</f>
        <v>0</v>
      </c>
      <c r="J44" s="37">
        <f t="shared" ref="J44:J49" si="75">ROUND((F44*(1+$K$8))*(1+$G$8),2)</f>
        <v>316.88</v>
      </c>
      <c r="K44" s="288">
        <f t="shared" ref="K44:K49" si="76">TRUNC(J44*G44,2)</f>
        <v>754.17</v>
      </c>
      <c r="L44" s="38">
        <f t="shared" si="37"/>
        <v>0</v>
      </c>
      <c r="M44" s="213">
        <f t="shared" ref="M44:M49" si="77">N44/$H44*100</f>
        <v>0</v>
      </c>
      <c r="N44" s="98"/>
      <c r="O44" s="98">
        <f t="shared" ref="O44:O49" si="78">TRUNC(N44*$J44,2)</f>
        <v>0</v>
      </c>
      <c r="P44" s="214">
        <f t="shared" ref="P44:P49" si="79">Q44/$H44*100</f>
        <v>0</v>
      </c>
      <c r="Q44" s="98"/>
      <c r="R44" s="98">
        <f t="shared" ref="R44:R49" si="80">TRUNC(Q44*$J44,2)</f>
        <v>0</v>
      </c>
      <c r="S44" s="214">
        <f t="shared" ref="S44:S49" si="81">T44/$H44*100</f>
        <v>0</v>
      </c>
      <c r="T44" s="98"/>
      <c r="U44" s="98">
        <f t="shared" ref="U44:U49" si="82">TRUNC(T44*$J44,2)</f>
        <v>0</v>
      </c>
      <c r="V44" s="214">
        <f t="shared" ref="V44:V49" si="83">W44/$H44*100</f>
        <v>0</v>
      </c>
      <c r="W44" s="98"/>
      <c r="X44" s="98">
        <f t="shared" ref="X44:X49" si="84">TRUNC(W44*$J44,2)</f>
        <v>0</v>
      </c>
      <c r="Y44" s="214">
        <f t="shared" ref="Y44:Y49" si="85">Z44/$H44*100</f>
        <v>0</v>
      </c>
      <c r="Z44" s="98"/>
      <c r="AA44" s="98">
        <f t="shared" ref="AA44:AA49" si="86">TRUNC(Z44*$J44,2)</f>
        <v>0</v>
      </c>
      <c r="AB44" s="214">
        <f t="shared" ref="AB44:AB49" si="87">AC44/$H44*100</f>
        <v>0</v>
      </c>
      <c r="AC44" s="98"/>
      <c r="AD44" s="98">
        <f t="shared" ref="AD44:AD49" si="88">TRUNC(AC44*$J44,2)</f>
        <v>0</v>
      </c>
      <c r="AE44" s="214">
        <f t="shared" ref="AE44:AE49" si="89">AF44/$H44*100</f>
        <v>0</v>
      </c>
      <c r="AF44" s="98"/>
      <c r="AG44" s="98">
        <f t="shared" ref="AG44:AG49" si="90">TRUNC(AF44*$J44,2)</f>
        <v>0</v>
      </c>
      <c r="AH44" s="214">
        <f t="shared" ref="AH44:AH49" si="91">AI44/$H44*100</f>
        <v>0</v>
      </c>
      <c r="AI44" s="98"/>
      <c r="AJ44" s="98">
        <f t="shared" ref="AJ44:AJ49" si="92">TRUNC(AI44*$J44,2)</f>
        <v>0</v>
      </c>
      <c r="AK44" s="214">
        <f t="shared" ref="AK44:AK49" si="93">AL44/$H44*100</f>
        <v>0</v>
      </c>
      <c r="AL44" s="98"/>
      <c r="AM44" s="98">
        <f t="shared" ref="AM44:AM49" si="94">TRUNC(AL44*$J44,2)</f>
        <v>0</v>
      </c>
      <c r="AN44" s="214">
        <f t="shared" ref="AN44:AN49" si="95">AO44/$H44*100</f>
        <v>0</v>
      </c>
      <c r="AO44" s="98"/>
      <c r="AP44" s="98">
        <f t="shared" ref="AP44:AP49" si="96">TRUNC(AO44*$J44,2)</f>
        <v>0</v>
      </c>
      <c r="AQ44" s="214">
        <f t="shared" ref="AQ44:AQ49" si="97">AR44/$H44*100</f>
        <v>0</v>
      </c>
      <c r="AR44" s="98"/>
      <c r="AS44" s="98">
        <f t="shared" ref="AS44:AS49" si="98">TRUNC(AR44*$J44,2)</f>
        <v>0</v>
      </c>
      <c r="AT44" s="214">
        <f t="shared" ref="AT44:AT49" si="99">AU44/$H44*100</f>
        <v>0</v>
      </c>
      <c r="AU44" s="98"/>
      <c r="AV44" s="215">
        <f t="shared" ref="AV44:AV49" si="100">TRUNC(AU44*$J44,2)</f>
        <v>0</v>
      </c>
      <c r="AW44" s="214">
        <f t="shared" ref="AW44:AW49" si="101">AX44/$H44*100</f>
        <v>0</v>
      </c>
      <c r="AX44" s="98">
        <f t="shared" ref="AX44:AX49" si="102">Q44+N44+T44+W44+Z44+AC44+AF44+AI44+AL44+AO44+AR44+AU44</f>
        <v>0</v>
      </c>
      <c r="AY44" s="204">
        <f t="shared" ref="AY44:AY49" si="103">TRUNC(AX44*$J44,2)</f>
        <v>0</v>
      </c>
      <c r="AZ44" s="214">
        <f t="shared" ref="AZ44:AZ49" si="104">BA44/$H44*100</f>
        <v>100</v>
      </c>
      <c r="BA44" s="98">
        <f t="shared" ref="BA44:BA49" si="105">H44-AX44</f>
        <v>2.38</v>
      </c>
      <c r="BB44" s="204">
        <f t="shared" ref="BB44:BB49" si="106">TRUNC(BA44*$J44,2)</f>
        <v>754.17</v>
      </c>
    </row>
    <row r="45" spans="1:54" s="3" customFormat="1" ht="28.5" x14ac:dyDescent="0.2">
      <c r="A45" s="39" t="s">
        <v>205</v>
      </c>
      <c r="B45" s="338" t="s">
        <v>206</v>
      </c>
      <c r="C45" s="28" t="s">
        <v>207</v>
      </c>
      <c r="D45" s="50" t="s">
        <v>208</v>
      </c>
      <c r="E45" s="28" t="s">
        <v>119</v>
      </c>
      <c r="F45" s="339">
        <v>248.73</v>
      </c>
      <c r="G45" s="44">
        <f>'Quat Const.'!F35</f>
        <v>40.21</v>
      </c>
      <c r="H45" s="256">
        <f t="shared" si="73"/>
        <v>40.21</v>
      </c>
      <c r="I45" s="37">
        <f t="shared" si="74"/>
        <v>0</v>
      </c>
      <c r="J45" s="37">
        <f t="shared" si="75"/>
        <v>312.93</v>
      </c>
      <c r="K45" s="288">
        <f t="shared" si="76"/>
        <v>12582.91</v>
      </c>
      <c r="L45" s="38">
        <f t="shared" si="37"/>
        <v>0</v>
      </c>
      <c r="M45" s="213">
        <f t="shared" si="77"/>
        <v>0</v>
      </c>
      <c r="N45" s="98"/>
      <c r="O45" s="98">
        <f t="shared" si="78"/>
        <v>0</v>
      </c>
      <c r="P45" s="214">
        <f t="shared" si="79"/>
        <v>0</v>
      </c>
      <c r="Q45" s="98"/>
      <c r="R45" s="98">
        <f t="shared" si="80"/>
        <v>0</v>
      </c>
      <c r="S45" s="214">
        <f t="shared" si="81"/>
        <v>0</v>
      </c>
      <c r="T45" s="98"/>
      <c r="U45" s="98">
        <f t="shared" si="82"/>
        <v>0</v>
      </c>
      <c r="V45" s="214">
        <f t="shared" si="83"/>
        <v>0</v>
      </c>
      <c r="W45" s="98"/>
      <c r="X45" s="98">
        <f t="shared" si="84"/>
        <v>0</v>
      </c>
      <c r="Y45" s="214">
        <f t="shared" si="85"/>
        <v>0</v>
      </c>
      <c r="Z45" s="98"/>
      <c r="AA45" s="98">
        <f t="shared" si="86"/>
        <v>0</v>
      </c>
      <c r="AB45" s="214">
        <f t="shared" si="87"/>
        <v>0</v>
      </c>
      <c r="AC45" s="98"/>
      <c r="AD45" s="98">
        <f t="shared" si="88"/>
        <v>0</v>
      </c>
      <c r="AE45" s="214">
        <f t="shared" si="89"/>
        <v>0</v>
      </c>
      <c r="AF45" s="98"/>
      <c r="AG45" s="98">
        <f t="shared" si="90"/>
        <v>0</v>
      </c>
      <c r="AH45" s="214">
        <f t="shared" si="91"/>
        <v>0</v>
      </c>
      <c r="AI45" s="98"/>
      <c r="AJ45" s="98">
        <f t="shared" si="92"/>
        <v>0</v>
      </c>
      <c r="AK45" s="214">
        <f t="shared" si="93"/>
        <v>0</v>
      </c>
      <c r="AL45" s="98"/>
      <c r="AM45" s="98">
        <f t="shared" si="94"/>
        <v>0</v>
      </c>
      <c r="AN45" s="214">
        <f t="shared" si="95"/>
        <v>0</v>
      </c>
      <c r="AO45" s="98"/>
      <c r="AP45" s="98">
        <f t="shared" si="96"/>
        <v>0</v>
      </c>
      <c r="AQ45" s="214">
        <f t="shared" si="97"/>
        <v>0</v>
      </c>
      <c r="AR45" s="98"/>
      <c r="AS45" s="98">
        <f t="shared" si="98"/>
        <v>0</v>
      </c>
      <c r="AT45" s="214">
        <f t="shared" si="99"/>
        <v>0</v>
      </c>
      <c r="AU45" s="98"/>
      <c r="AV45" s="215">
        <f t="shared" si="100"/>
        <v>0</v>
      </c>
      <c r="AW45" s="214">
        <f t="shared" si="101"/>
        <v>0</v>
      </c>
      <c r="AX45" s="98">
        <f t="shared" si="102"/>
        <v>0</v>
      </c>
      <c r="AY45" s="204">
        <f t="shared" si="103"/>
        <v>0</v>
      </c>
      <c r="AZ45" s="214">
        <f t="shared" si="104"/>
        <v>100</v>
      </c>
      <c r="BA45" s="98">
        <f t="shared" si="105"/>
        <v>40.21</v>
      </c>
      <c r="BB45" s="204">
        <f t="shared" si="106"/>
        <v>12582.91</v>
      </c>
    </row>
    <row r="46" spans="1:54" s="3" customFormat="1" ht="15" x14ac:dyDescent="0.2">
      <c r="A46" s="39" t="s">
        <v>209</v>
      </c>
      <c r="B46" s="338" t="s">
        <v>210</v>
      </c>
      <c r="C46" s="28" t="s">
        <v>211</v>
      </c>
      <c r="D46" s="58" t="s">
        <v>212</v>
      </c>
      <c r="E46" s="28" t="s">
        <v>119</v>
      </c>
      <c r="F46" s="339">
        <v>50.12</v>
      </c>
      <c r="G46" s="44">
        <f>'Quat Const.'!F36</f>
        <v>40.21</v>
      </c>
      <c r="H46" s="256">
        <f t="shared" si="73"/>
        <v>40.21</v>
      </c>
      <c r="I46" s="37">
        <f t="shared" si="74"/>
        <v>0</v>
      </c>
      <c r="J46" s="37">
        <f t="shared" si="75"/>
        <v>63.06</v>
      </c>
      <c r="K46" s="288">
        <f t="shared" si="76"/>
        <v>2535.64</v>
      </c>
      <c r="L46" s="38">
        <f>TRUNC(J46*I46,2)</f>
        <v>0</v>
      </c>
      <c r="M46" s="213">
        <f t="shared" si="77"/>
        <v>0</v>
      </c>
      <c r="N46" s="98"/>
      <c r="O46" s="98">
        <f t="shared" si="78"/>
        <v>0</v>
      </c>
      <c r="P46" s="214">
        <f t="shared" si="79"/>
        <v>0</v>
      </c>
      <c r="Q46" s="98"/>
      <c r="R46" s="98">
        <f t="shared" si="80"/>
        <v>0</v>
      </c>
      <c r="S46" s="214">
        <f t="shared" si="81"/>
        <v>0</v>
      </c>
      <c r="T46" s="98"/>
      <c r="U46" s="98">
        <f t="shared" si="82"/>
        <v>0</v>
      </c>
      <c r="V46" s="214">
        <f t="shared" si="83"/>
        <v>0</v>
      </c>
      <c r="W46" s="98"/>
      <c r="X46" s="98">
        <f t="shared" si="84"/>
        <v>0</v>
      </c>
      <c r="Y46" s="214">
        <f t="shared" si="85"/>
        <v>0</v>
      </c>
      <c r="Z46" s="98"/>
      <c r="AA46" s="98">
        <f t="shared" si="86"/>
        <v>0</v>
      </c>
      <c r="AB46" s="214">
        <f t="shared" si="87"/>
        <v>0</v>
      </c>
      <c r="AC46" s="98"/>
      <c r="AD46" s="98">
        <f t="shared" si="88"/>
        <v>0</v>
      </c>
      <c r="AE46" s="214">
        <f t="shared" si="89"/>
        <v>0</v>
      </c>
      <c r="AF46" s="98"/>
      <c r="AG46" s="98">
        <f t="shared" si="90"/>
        <v>0</v>
      </c>
      <c r="AH46" s="214">
        <f t="shared" si="91"/>
        <v>0</v>
      </c>
      <c r="AI46" s="98"/>
      <c r="AJ46" s="98">
        <f t="shared" si="92"/>
        <v>0</v>
      </c>
      <c r="AK46" s="214">
        <f t="shared" si="93"/>
        <v>0</v>
      </c>
      <c r="AL46" s="98"/>
      <c r="AM46" s="98">
        <f t="shared" si="94"/>
        <v>0</v>
      </c>
      <c r="AN46" s="214">
        <f t="shared" si="95"/>
        <v>0</v>
      </c>
      <c r="AO46" s="98"/>
      <c r="AP46" s="98">
        <f t="shared" si="96"/>
        <v>0</v>
      </c>
      <c r="AQ46" s="214">
        <f t="shared" si="97"/>
        <v>0</v>
      </c>
      <c r="AR46" s="98"/>
      <c r="AS46" s="98">
        <f t="shared" si="98"/>
        <v>0</v>
      </c>
      <c r="AT46" s="214">
        <f t="shared" si="99"/>
        <v>0</v>
      </c>
      <c r="AU46" s="98"/>
      <c r="AV46" s="215">
        <f t="shared" si="100"/>
        <v>0</v>
      </c>
      <c r="AW46" s="214">
        <f t="shared" si="101"/>
        <v>0</v>
      </c>
      <c r="AX46" s="98">
        <f t="shared" si="102"/>
        <v>0</v>
      </c>
      <c r="AY46" s="204">
        <f t="shared" si="103"/>
        <v>0</v>
      </c>
      <c r="AZ46" s="214">
        <f t="shared" si="104"/>
        <v>100</v>
      </c>
      <c r="BA46" s="98">
        <f t="shared" si="105"/>
        <v>40.21</v>
      </c>
      <c r="BB46" s="204">
        <f t="shared" si="106"/>
        <v>2535.64</v>
      </c>
    </row>
    <row r="47" spans="1:54" s="3" customFormat="1" ht="15" x14ac:dyDescent="0.2">
      <c r="A47" s="39" t="s">
        <v>213</v>
      </c>
      <c r="B47" s="338" t="s">
        <v>214</v>
      </c>
      <c r="C47" s="28" t="s">
        <v>215</v>
      </c>
      <c r="D47" s="58" t="s">
        <v>216</v>
      </c>
      <c r="E47" s="28" t="s">
        <v>98</v>
      </c>
      <c r="F47" s="339">
        <v>31.97</v>
      </c>
      <c r="G47" s="44">
        <f>'Quat Const.'!F37</f>
        <v>307.83</v>
      </c>
      <c r="H47" s="256">
        <f t="shared" si="73"/>
        <v>307.83</v>
      </c>
      <c r="I47" s="37">
        <f t="shared" si="74"/>
        <v>0</v>
      </c>
      <c r="J47" s="37">
        <f t="shared" si="75"/>
        <v>40.22</v>
      </c>
      <c r="K47" s="288">
        <f t="shared" si="76"/>
        <v>12380.92</v>
      </c>
      <c r="L47" s="38">
        <f t="shared" si="37"/>
        <v>0</v>
      </c>
      <c r="M47" s="213">
        <f t="shared" si="77"/>
        <v>0</v>
      </c>
      <c r="N47" s="98"/>
      <c r="O47" s="98">
        <f t="shared" si="78"/>
        <v>0</v>
      </c>
      <c r="P47" s="214">
        <f t="shared" si="79"/>
        <v>0</v>
      </c>
      <c r="Q47" s="98"/>
      <c r="R47" s="98">
        <f t="shared" si="80"/>
        <v>0</v>
      </c>
      <c r="S47" s="214">
        <f t="shared" si="81"/>
        <v>0</v>
      </c>
      <c r="T47" s="98"/>
      <c r="U47" s="98">
        <f t="shared" si="82"/>
        <v>0</v>
      </c>
      <c r="V47" s="214">
        <f t="shared" si="83"/>
        <v>0</v>
      </c>
      <c r="W47" s="98"/>
      <c r="X47" s="98">
        <f t="shared" si="84"/>
        <v>0</v>
      </c>
      <c r="Y47" s="214">
        <f t="shared" si="85"/>
        <v>0</v>
      </c>
      <c r="Z47" s="98"/>
      <c r="AA47" s="98">
        <f t="shared" si="86"/>
        <v>0</v>
      </c>
      <c r="AB47" s="214">
        <f t="shared" si="87"/>
        <v>0</v>
      </c>
      <c r="AC47" s="98"/>
      <c r="AD47" s="98">
        <f t="shared" si="88"/>
        <v>0</v>
      </c>
      <c r="AE47" s="214">
        <f t="shared" si="89"/>
        <v>0</v>
      </c>
      <c r="AF47" s="98"/>
      <c r="AG47" s="98">
        <f t="shared" si="90"/>
        <v>0</v>
      </c>
      <c r="AH47" s="214">
        <f t="shared" si="91"/>
        <v>0</v>
      </c>
      <c r="AI47" s="98"/>
      <c r="AJ47" s="98">
        <f t="shared" si="92"/>
        <v>0</v>
      </c>
      <c r="AK47" s="214">
        <f t="shared" si="93"/>
        <v>0</v>
      </c>
      <c r="AL47" s="98"/>
      <c r="AM47" s="98">
        <f t="shared" si="94"/>
        <v>0</v>
      </c>
      <c r="AN47" s="214">
        <f t="shared" si="95"/>
        <v>0</v>
      </c>
      <c r="AO47" s="98"/>
      <c r="AP47" s="98">
        <f t="shared" si="96"/>
        <v>0</v>
      </c>
      <c r="AQ47" s="214">
        <f t="shared" si="97"/>
        <v>0</v>
      </c>
      <c r="AR47" s="98"/>
      <c r="AS47" s="98">
        <f t="shared" si="98"/>
        <v>0</v>
      </c>
      <c r="AT47" s="214">
        <f t="shared" si="99"/>
        <v>0</v>
      </c>
      <c r="AU47" s="98"/>
      <c r="AV47" s="215">
        <f t="shared" si="100"/>
        <v>0</v>
      </c>
      <c r="AW47" s="214">
        <f t="shared" si="101"/>
        <v>0</v>
      </c>
      <c r="AX47" s="98">
        <f t="shared" si="102"/>
        <v>0</v>
      </c>
      <c r="AY47" s="204">
        <f t="shared" si="103"/>
        <v>0</v>
      </c>
      <c r="AZ47" s="214">
        <f t="shared" si="104"/>
        <v>100</v>
      </c>
      <c r="BA47" s="98">
        <f t="shared" si="105"/>
        <v>307.83</v>
      </c>
      <c r="BB47" s="204">
        <f t="shared" si="106"/>
        <v>12380.92</v>
      </c>
    </row>
    <row r="48" spans="1:54" s="3" customFormat="1" ht="15" x14ac:dyDescent="0.2">
      <c r="A48" s="39" t="s">
        <v>217</v>
      </c>
      <c r="B48" s="338" t="s">
        <v>218</v>
      </c>
      <c r="C48" s="28" t="s">
        <v>219</v>
      </c>
      <c r="D48" s="345" t="s">
        <v>220</v>
      </c>
      <c r="E48" s="28" t="s">
        <v>221</v>
      </c>
      <c r="F48" s="339">
        <v>7.39</v>
      </c>
      <c r="G48" s="44">
        <f>'Quat Const.'!F38</f>
        <v>2573.25</v>
      </c>
      <c r="H48" s="256">
        <f t="shared" si="73"/>
        <v>2573.25</v>
      </c>
      <c r="I48" s="37">
        <f t="shared" si="74"/>
        <v>0</v>
      </c>
      <c r="J48" s="37">
        <f t="shared" si="75"/>
        <v>9.3000000000000007</v>
      </c>
      <c r="K48" s="288">
        <f t="shared" si="76"/>
        <v>23931.22</v>
      </c>
      <c r="L48" s="38">
        <f t="shared" si="37"/>
        <v>0</v>
      </c>
      <c r="M48" s="213">
        <f t="shared" si="77"/>
        <v>0</v>
      </c>
      <c r="N48" s="98"/>
      <c r="O48" s="98">
        <f t="shared" si="78"/>
        <v>0</v>
      </c>
      <c r="P48" s="214">
        <f t="shared" si="79"/>
        <v>0</v>
      </c>
      <c r="Q48" s="98"/>
      <c r="R48" s="98">
        <f t="shared" si="80"/>
        <v>0</v>
      </c>
      <c r="S48" s="214">
        <f t="shared" si="81"/>
        <v>0</v>
      </c>
      <c r="T48" s="98"/>
      <c r="U48" s="98">
        <f t="shared" si="82"/>
        <v>0</v>
      </c>
      <c r="V48" s="214">
        <f t="shared" si="83"/>
        <v>0</v>
      </c>
      <c r="W48" s="98"/>
      <c r="X48" s="98">
        <f t="shared" si="84"/>
        <v>0</v>
      </c>
      <c r="Y48" s="214">
        <f t="shared" si="85"/>
        <v>0</v>
      </c>
      <c r="Z48" s="98"/>
      <c r="AA48" s="98">
        <f t="shared" si="86"/>
        <v>0</v>
      </c>
      <c r="AB48" s="214">
        <f t="shared" si="87"/>
        <v>0</v>
      </c>
      <c r="AC48" s="98"/>
      <c r="AD48" s="98">
        <f t="shared" si="88"/>
        <v>0</v>
      </c>
      <c r="AE48" s="214">
        <f t="shared" si="89"/>
        <v>0</v>
      </c>
      <c r="AF48" s="98"/>
      <c r="AG48" s="98">
        <f t="shared" si="90"/>
        <v>0</v>
      </c>
      <c r="AH48" s="214">
        <f t="shared" si="91"/>
        <v>0</v>
      </c>
      <c r="AI48" s="98"/>
      <c r="AJ48" s="98">
        <f t="shared" si="92"/>
        <v>0</v>
      </c>
      <c r="AK48" s="214">
        <f t="shared" si="93"/>
        <v>0</v>
      </c>
      <c r="AL48" s="98"/>
      <c r="AM48" s="98">
        <f t="shared" si="94"/>
        <v>0</v>
      </c>
      <c r="AN48" s="214">
        <f t="shared" si="95"/>
        <v>0</v>
      </c>
      <c r="AO48" s="98"/>
      <c r="AP48" s="98">
        <f t="shared" si="96"/>
        <v>0</v>
      </c>
      <c r="AQ48" s="214">
        <f t="shared" si="97"/>
        <v>0</v>
      </c>
      <c r="AR48" s="98"/>
      <c r="AS48" s="98">
        <f t="shared" si="98"/>
        <v>0</v>
      </c>
      <c r="AT48" s="214">
        <f t="shared" si="99"/>
        <v>0</v>
      </c>
      <c r="AU48" s="98"/>
      <c r="AV48" s="215">
        <f t="shared" si="100"/>
        <v>0</v>
      </c>
      <c r="AW48" s="214">
        <f t="shared" si="101"/>
        <v>0</v>
      </c>
      <c r="AX48" s="98">
        <f t="shared" si="102"/>
        <v>0</v>
      </c>
      <c r="AY48" s="204">
        <f t="shared" si="103"/>
        <v>0</v>
      </c>
      <c r="AZ48" s="214">
        <f t="shared" si="104"/>
        <v>100</v>
      </c>
      <c r="BA48" s="98">
        <f t="shared" si="105"/>
        <v>2573.25</v>
      </c>
      <c r="BB48" s="204">
        <f t="shared" si="106"/>
        <v>23931.22</v>
      </c>
    </row>
    <row r="49" spans="1:54" s="3" customFormat="1" ht="15" x14ac:dyDescent="0.2">
      <c r="A49" s="39" t="s">
        <v>222</v>
      </c>
      <c r="B49" s="338" t="s">
        <v>223</v>
      </c>
      <c r="C49" s="28" t="s">
        <v>224</v>
      </c>
      <c r="D49" s="345" t="s">
        <v>225</v>
      </c>
      <c r="E49" s="28" t="s">
        <v>226</v>
      </c>
      <c r="F49" s="339">
        <v>7.48</v>
      </c>
      <c r="G49" s="44">
        <f>'Quat Const.'!F39</f>
        <v>643.30999999999995</v>
      </c>
      <c r="H49" s="256">
        <f t="shared" si="73"/>
        <v>643.30999999999995</v>
      </c>
      <c r="I49" s="37">
        <f t="shared" si="74"/>
        <v>0</v>
      </c>
      <c r="J49" s="37">
        <f t="shared" si="75"/>
        <v>9.41</v>
      </c>
      <c r="K49" s="288">
        <f t="shared" si="76"/>
        <v>6053.54</v>
      </c>
      <c r="L49" s="38">
        <f t="shared" si="37"/>
        <v>0</v>
      </c>
      <c r="M49" s="213">
        <f t="shared" si="77"/>
        <v>0</v>
      </c>
      <c r="N49" s="98"/>
      <c r="O49" s="98">
        <f t="shared" si="78"/>
        <v>0</v>
      </c>
      <c r="P49" s="214">
        <f t="shared" si="79"/>
        <v>0</v>
      </c>
      <c r="Q49" s="98"/>
      <c r="R49" s="98">
        <f t="shared" si="80"/>
        <v>0</v>
      </c>
      <c r="S49" s="214">
        <f t="shared" si="81"/>
        <v>0</v>
      </c>
      <c r="T49" s="98"/>
      <c r="U49" s="98">
        <f t="shared" si="82"/>
        <v>0</v>
      </c>
      <c r="V49" s="214">
        <f t="shared" si="83"/>
        <v>0</v>
      </c>
      <c r="W49" s="98"/>
      <c r="X49" s="98">
        <f t="shared" si="84"/>
        <v>0</v>
      </c>
      <c r="Y49" s="214">
        <f t="shared" si="85"/>
        <v>0</v>
      </c>
      <c r="Z49" s="98"/>
      <c r="AA49" s="98">
        <f t="shared" si="86"/>
        <v>0</v>
      </c>
      <c r="AB49" s="214">
        <f t="shared" si="87"/>
        <v>0</v>
      </c>
      <c r="AC49" s="98"/>
      <c r="AD49" s="98">
        <f t="shared" si="88"/>
        <v>0</v>
      </c>
      <c r="AE49" s="214">
        <f t="shared" si="89"/>
        <v>0</v>
      </c>
      <c r="AF49" s="98"/>
      <c r="AG49" s="98">
        <f t="shared" si="90"/>
        <v>0</v>
      </c>
      <c r="AH49" s="214">
        <f t="shared" si="91"/>
        <v>0</v>
      </c>
      <c r="AI49" s="98"/>
      <c r="AJ49" s="98">
        <f t="shared" si="92"/>
        <v>0</v>
      </c>
      <c r="AK49" s="214">
        <f t="shared" si="93"/>
        <v>0</v>
      </c>
      <c r="AL49" s="98"/>
      <c r="AM49" s="98">
        <f t="shared" si="94"/>
        <v>0</v>
      </c>
      <c r="AN49" s="214">
        <f t="shared" si="95"/>
        <v>0</v>
      </c>
      <c r="AO49" s="98"/>
      <c r="AP49" s="98">
        <f t="shared" si="96"/>
        <v>0</v>
      </c>
      <c r="AQ49" s="214">
        <f t="shared" si="97"/>
        <v>0</v>
      </c>
      <c r="AR49" s="98"/>
      <c r="AS49" s="98">
        <f t="shared" si="98"/>
        <v>0</v>
      </c>
      <c r="AT49" s="214">
        <f t="shared" si="99"/>
        <v>0</v>
      </c>
      <c r="AU49" s="98"/>
      <c r="AV49" s="215">
        <f t="shared" si="100"/>
        <v>0</v>
      </c>
      <c r="AW49" s="214">
        <f t="shared" si="101"/>
        <v>0</v>
      </c>
      <c r="AX49" s="98">
        <f t="shared" si="102"/>
        <v>0</v>
      </c>
      <c r="AY49" s="204">
        <f t="shared" si="103"/>
        <v>0</v>
      </c>
      <c r="AZ49" s="214">
        <f t="shared" si="104"/>
        <v>100</v>
      </c>
      <c r="BA49" s="98">
        <f t="shared" si="105"/>
        <v>643.30999999999995</v>
      </c>
      <c r="BB49" s="204">
        <f t="shared" si="106"/>
        <v>6053.54</v>
      </c>
    </row>
    <row r="50" spans="1:54" s="3" customFormat="1" ht="15" customHeight="1" x14ac:dyDescent="0.2">
      <c r="A50" s="271"/>
      <c r="B50" s="258"/>
      <c r="C50" s="258"/>
      <c r="D50" s="272"/>
      <c r="E50" s="45"/>
      <c r="F50" s="37"/>
      <c r="G50" s="37"/>
      <c r="H50" s="642" t="s">
        <v>125</v>
      </c>
      <c r="I50" s="642"/>
      <c r="J50" s="642"/>
      <c r="K50" s="172">
        <f>SUM(K44:K49)</f>
        <v>58238.400000000001</v>
      </c>
      <c r="L50" s="43">
        <f>SUM(L44:L49)</f>
        <v>0</v>
      </c>
      <c r="M50" s="648" t="s">
        <v>125</v>
      </c>
      <c r="N50" s="642"/>
      <c r="O50" s="172">
        <f>SUM(O44:O49)</f>
        <v>0</v>
      </c>
      <c r="P50" s="641" t="s">
        <v>125</v>
      </c>
      <c r="Q50" s="642"/>
      <c r="R50" s="172">
        <f>SUM(R44:R49)</f>
        <v>0</v>
      </c>
      <c r="S50" s="641" t="s">
        <v>125</v>
      </c>
      <c r="T50" s="642"/>
      <c r="U50" s="172">
        <f>SUM(U44:U49)</f>
        <v>0</v>
      </c>
      <c r="V50" s="641" t="s">
        <v>125</v>
      </c>
      <c r="W50" s="642"/>
      <c r="X50" s="172">
        <f>SUM(X44:X49)</f>
        <v>0</v>
      </c>
      <c r="Y50" s="641" t="s">
        <v>125</v>
      </c>
      <c r="Z50" s="642"/>
      <c r="AA50" s="172">
        <f>SUM(AA44:AA49)</f>
        <v>0</v>
      </c>
      <c r="AB50" s="641" t="s">
        <v>125</v>
      </c>
      <c r="AC50" s="642"/>
      <c r="AD50" s="172">
        <f>SUM(AD44:AD49)</f>
        <v>0</v>
      </c>
      <c r="AE50" s="641" t="s">
        <v>125</v>
      </c>
      <c r="AF50" s="642"/>
      <c r="AG50" s="172">
        <f>SUM(AG44:AG49)</f>
        <v>0</v>
      </c>
      <c r="AH50" s="641" t="s">
        <v>125</v>
      </c>
      <c r="AI50" s="642"/>
      <c r="AJ50" s="172">
        <f>SUM(AJ44:AJ49)</f>
        <v>0</v>
      </c>
      <c r="AK50" s="641" t="s">
        <v>125</v>
      </c>
      <c r="AL50" s="642"/>
      <c r="AM50" s="172">
        <f>SUM(AM44:AM49)</f>
        <v>0</v>
      </c>
      <c r="AN50" s="641" t="s">
        <v>125</v>
      </c>
      <c r="AO50" s="642"/>
      <c r="AP50" s="172">
        <f>SUM(AP44:AP49)</f>
        <v>0</v>
      </c>
      <c r="AQ50" s="641" t="s">
        <v>125</v>
      </c>
      <c r="AR50" s="642"/>
      <c r="AS50" s="172">
        <f>SUM(AS44:AS49)</f>
        <v>0</v>
      </c>
      <c r="AT50" s="641" t="s">
        <v>125</v>
      </c>
      <c r="AU50" s="642"/>
      <c r="AV50" s="173">
        <f>SUM(AV44:AV49)</f>
        <v>0</v>
      </c>
      <c r="AW50" s="641" t="s">
        <v>125</v>
      </c>
      <c r="AX50" s="642"/>
      <c r="AY50" s="43">
        <f>SUM(AY44:AY49)</f>
        <v>0</v>
      </c>
      <c r="AZ50" s="641" t="s">
        <v>125</v>
      </c>
      <c r="BA50" s="642"/>
      <c r="BB50" s="43">
        <f>SUM(BB44:BB49)</f>
        <v>58238.400000000001</v>
      </c>
    </row>
    <row r="51" spans="1:54" s="3" customFormat="1" ht="15" x14ac:dyDescent="0.2">
      <c r="A51" s="34" t="s">
        <v>227</v>
      </c>
      <c r="B51" s="46"/>
      <c r="C51" s="46"/>
      <c r="D51" s="27" t="s">
        <v>228</v>
      </c>
      <c r="E51" s="36"/>
      <c r="F51" s="37"/>
      <c r="G51" s="385"/>
      <c r="H51" s="385"/>
      <c r="I51" s="385"/>
      <c r="J51" s="385"/>
      <c r="K51" s="288"/>
      <c r="L51" s="38"/>
      <c r="M51" s="213"/>
      <c r="N51" s="98"/>
      <c r="O51" s="98"/>
      <c r="P51" s="214"/>
      <c r="Q51" s="98"/>
      <c r="R51" s="98"/>
      <c r="S51" s="214"/>
      <c r="T51" s="98"/>
      <c r="U51" s="98"/>
      <c r="V51" s="214"/>
      <c r="W51" s="98"/>
      <c r="X51" s="98"/>
      <c r="Y51" s="214"/>
      <c r="Z51" s="98"/>
      <c r="AA51" s="98"/>
      <c r="AB51" s="214"/>
      <c r="AC51" s="98"/>
      <c r="AD51" s="98"/>
      <c r="AE51" s="214"/>
      <c r="AF51" s="98"/>
      <c r="AG51" s="98"/>
      <c r="AH51" s="214"/>
      <c r="AI51" s="98"/>
      <c r="AJ51" s="98"/>
      <c r="AK51" s="214"/>
      <c r="AL51" s="98"/>
      <c r="AM51" s="98"/>
      <c r="AN51" s="214"/>
      <c r="AO51" s="98"/>
      <c r="AP51" s="98"/>
      <c r="AQ51" s="214"/>
      <c r="AR51" s="98"/>
      <c r="AS51" s="98"/>
      <c r="AT51" s="214"/>
      <c r="AU51" s="98"/>
      <c r="AV51" s="215"/>
      <c r="AW51" s="214"/>
      <c r="AX51" s="98"/>
      <c r="AY51" s="204"/>
      <c r="AZ51" s="214"/>
      <c r="BA51" s="98"/>
      <c r="BB51" s="204"/>
    </row>
    <row r="52" spans="1:54" s="3" customFormat="1" ht="28.5" x14ac:dyDescent="0.2">
      <c r="A52" s="39" t="s">
        <v>229</v>
      </c>
      <c r="B52" s="338" t="s">
        <v>230</v>
      </c>
      <c r="C52" s="28" t="s">
        <v>231</v>
      </c>
      <c r="D52" s="50" t="s">
        <v>232</v>
      </c>
      <c r="E52" s="28" t="s">
        <v>119</v>
      </c>
      <c r="F52" s="339">
        <v>277.24</v>
      </c>
      <c r="G52" s="44">
        <f>'Quat Const.'!F42</f>
        <v>6.73</v>
      </c>
      <c r="H52" s="44">
        <f>G52</f>
        <v>6.73</v>
      </c>
      <c r="I52" s="37">
        <f>H52-G52</f>
        <v>0</v>
      </c>
      <c r="J52" s="37">
        <f>ROUND((F52*(1+$K$8))*(1+$G$8),2)</f>
        <v>348.8</v>
      </c>
      <c r="K52" s="288">
        <f>TRUNC(J52*G52,2)</f>
        <v>2347.42</v>
      </c>
      <c r="L52" s="38">
        <f t="shared" si="37"/>
        <v>0</v>
      </c>
      <c r="M52" s="213">
        <f>N52/$H52*100</f>
        <v>0</v>
      </c>
      <c r="N52" s="98"/>
      <c r="O52" s="98">
        <f>TRUNC(N52*$J52,2)</f>
        <v>0</v>
      </c>
      <c r="P52" s="214">
        <f>Q52/$H52*100</f>
        <v>0</v>
      </c>
      <c r="Q52" s="98"/>
      <c r="R52" s="98">
        <f>TRUNC(Q52*$J52,2)</f>
        <v>0</v>
      </c>
      <c r="S52" s="214">
        <f>T52/$H52*100</f>
        <v>0</v>
      </c>
      <c r="T52" s="98"/>
      <c r="U52" s="98">
        <f>TRUNC(T52*$J52,2)</f>
        <v>0</v>
      </c>
      <c r="V52" s="214">
        <f>W52/$H52*100</f>
        <v>0</v>
      </c>
      <c r="W52" s="98"/>
      <c r="X52" s="98">
        <f>TRUNC(W52*$J52,2)</f>
        <v>0</v>
      </c>
      <c r="Y52" s="214">
        <f>Z52/$H52*100</f>
        <v>0</v>
      </c>
      <c r="Z52" s="98"/>
      <c r="AA52" s="98">
        <f>TRUNC(Z52*$J52,2)</f>
        <v>0</v>
      </c>
      <c r="AB52" s="214">
        <f>AC52/$H52*100</f>
        <v>0</v>
      </c>
      <c r="AC52" s="98"/>
      <c r="AD52" s="98">
        <f>TRUNC(AC52*$J52,2)</f>
        <v>0</v>
      </c>
      <c r="AE52" s="214">
        <f>AF52/$H52*100</f>
        <v>0</v>
      </c>
      <c r="AF52" s="98"/>
      <c r="AG52" s="98">
        <f>TRUNC(AF52*$J52,2)</f>
        <v>0</v>
      </c>
      <c r="AH52" s="214">
        <f>AI52/$H52*100</f>
        <v>0</v>
      </c>
      <c r="AI52" s="98"/>
      <c r="AJ52" s="98">
        <f>TRUNC(AI52*$J52,2)</f>
        <v>0</v>
      </c>
      <c r="AK52" s="214">
        <f>AL52/$H52*100</f>
        <v>0</v>
      </c>
      <c r="AL52" s="98"/>
      <c r="AM52" s="98">
        <f>TRUNC(AL52*$J52,2)</f>
        <v>0</v>
      </c>
      <c r="AN52" s="214">
        <f>AO52/$H52*100</f>
        <v>0</v>
      </c>
      <c r="AO52" s="98"/>
      <c r="AP52" s="98">
        <f>TRUNC(AO52*$J52,2)</f>
        <v>0</v>
      </c>
      <c r="AQ52" s="214">
        <f>AR52/$H52*100</f>
        <v>0</v>
      </c>
      <c r="AR52" s="98"/>
      <c r="AS52" s="98">
        <f>TRUNC(AR52*$J52,2)</f>
        <v>0</v>
      </c>
      <c r="AT52" s="214">
        <f>AU52/$H52*100</f>
        <v>0</v>
      </c>
      <c r="AU52" s="98"/>
      <c r="AV52" s="215">
        <f>TRUNC(AU52*$J52,2)</f>
        <v>0</v>
      </c>
      <c r="AW52" s="214">
        <f>AX52/$H52*100</f>
        <v>0</v>
      </c>
      <c r="AX52" s="98">
        <f>Q52+N52+T52+W52+Z52+AC52+AF52+AI52+AL52+AO52+AR52+AU52</f>
        <v>0</v>
      </c>
      <c r="AY52" s="204">
        <f>TRUNC(AX52*$J52,2)</f>
        <v>0</v>
      </c>
      <c r="AZ52" s="214">
        <f>BA52/$H52*100</f>
        <v>100</v>
      </c>
      <c r="BA52" s="98">
        <f>H52-AX52</f>
        <v>6.73</v>
      </c>
      <c r="BB52" s="204">
        <f>TRUNC(BA52*$J52,2)</f>
        <v>2347.42</v>
      </c>
    </row>
    <row r="53" spans="1:54" s="3" customFormat="1" ht="15" x14ac:dyDescent="0.2">
      <c r="A53" s="39" t="s">
        <v>233</v>
      </c>
      <c r="B53" s="338" t="s">
        <v>234</v>
      </c>
      <c r="C53" s="28" t="s">
        <v>235</v>
      </c>
      <c r="D53" s="58" t="s">
        <v>236</v>
      </c>
      <c r="E53" s="28" t="s">
        <v>119</v>
      </c>
      <c r="F53" s="339">
        <v>24.06</v>
      </c>
      <c r="G53" s="44">
        <f>'Quat Const.'!F43</f>
        <v>6.73</v>
      </c>
      <c r="H53" s="44">
        <f>G53</f>
        <v>6.73</v>
      </c>
      <c r="I53" s="37">
        <f>H53-G53</f>
        <v>0</v>
      </c>
      <c r="J53" s="37">
        <f>ROUND((F53*(1+$K$8))*(1+$G$8),2)</f>
        <v>30.27</v>
      </c>
      <c r="K53" s="288">
        <f>TRUNC(J53*G53,2)</f>
        <v>203.71</v>
      </c>
      <c r="L53" s="38">
        <f>TRUNC(J53*I53,2)</f>
        <v>0</v>
      </c>
      <c r="M53" s="213">
        <f>N53/$H53*100</f>
        <v>0</v>
      </c>
      <c r="N53" s="98"/>
      <c r="O53" s="98">
        <f>TRUNC(N53*$J53,2)</f>
        <v>0</v>
      </c>
      <c r="P53" s="214">
        <f>Q53/$H53*100</f>
        <v>0</v>
      </c>
      <c r="Q53" s="98"/>
      <c r="R53" s="98">
        <f>TRUNC(Q53*$J53,2)</f>
        <v>0</v>
      </c>
      <c r="S53" s="214">
        <f>T53/$H53*100</f>
        <v>0</v>
      </c>
      <c r="T53" s="98"/>
      <c r="U53" s="98">
        <f>TRUNC(T53*$J53,2)</f>
        <v>0</v>
      </c>
      <c r="V53" s="214">
        <f>W53/$H53*100</f>
        <v>0</v>
      </c>
      <c r="W53" s="98"/>
      <c r="X53" s="98">
        <f>TRUNC(W53*$J53,2)</f>
        <v>0</v>
      </c>
      <c r="Y53" s="214">
        <f>Z53/$H53*100</f>
        <v>0</v>
      </c>
      <c r="Z53" s="98"/>
      <c r="AA53" s="98">
        <f>TRUNC(Z53*$J53,2)</f>
        <v>0</v>
      </c>
      <c r="AB53" s="214">
        <f>AC53/$H53*100</f>
        <v>0</v>
      </c>
      <c r="AC53" s="98"/>
      <c r="AD53" s="98">
        <f>TRUNC(AC53*$J53,2)</f>
        <v>0</v>
      </c>
      <c r="AE53" s="214">
        <f>AF53/$H53*100</f>
        <v>0</v>
      </c>
      <c r="AF53" s="98"/>
      <c r="AG53" s="98">
        <f>TRUNC(AF53*$J53,2)</f>
        <v>0</v>
      </c>
      <c r="AH53" s="214">
        <f>AI53/$H53*100</f>
        <v>0</v>
      </c>
      <c r="AI53" s="98"/>
      <c r="AJ53" s="98">
        <f>TRUNC(AI53*$J53,2)</f>
        <v>0</v>
      </c>
      <c r="AK53" s="214">
        <f>AL53/$H53*100</f>
        <v>0</v>
      </c>
      <c r="AL53" s="98"/>
      <c r="AM53" s="98">
        <f>TRUNC(AL53*$J53,2)</f>
        <v>0</v>
      </c>
      <c r="AN53" s="214">
        <f>AO53/$H53*100</f>
        <v>0</v>
      </c>
      <c r="AO53" s="98"/>
      <c r="AP53" s="98">
        <f>TRUNC(AO53*$J53,2)</f>
        <v>0</v>
      </c>
      <c r="AQ53" s="214">
        <f>AR53/$H53*100</f>
        <v>0</v>
      </c>
      <c r="AR53" s="98"/>
      <c r="AS53" s="98">
        <f>TRUNC(AR53*$J53,2)</f>
        <v>0</v>
      </c>
      <c r="AT53" s="214">
        <f>AU53/$H53*100</f>
        <v>0</v>
      </c>
      <c r="AU53" s="98"/>
      <c r="AV53" s="215">
        <f>TRUNC(AU53*$J53,2)</f>
        <v>0</v>
      </c>
      <c r="AW53" s="214">
        <f>AX53/$H53*100</f>
        <v>0</v>
      </c>
      <c r="AX53" s="98">
        <f>Q53+N53+T53+W53+Z53+AC53+AF53+AI53+AL53+AO53+AR53+AU53</f>
        <v>0</v>
      </c>
      <c r="AY53" s="204">
        <f>TRUNC(AX53*$J53,2)</f>
        <v>0</v>
      </c>
      <c r="AZ53" s="214">
        <f>BA53/$H53*100</f>
        <v>100</v>
      </c>
      <c r="BA53" s="98">
        <f>H53-AX53</f>
        <v>6.73</v>
      </c>
      <c r="BB53" s="204">
        <f>TRUNC(BA53*$J53,2)</f>
        <v>203.71</v>
      </c>
    </row>
    <row r="54" spans="1:54" s="3" customFormat="1" ht="15" x14ac:dyDescent="0.2">
      <c r="A54" s="39" t="s">
        <v>237</v>
      </c>
      <c r="B54" s="338" t="s">
        <v>238</v>
      </c>
      <c r="C54" s="28" t="s">
        <v>239</v>
      </c>
      <c r="D54" s="58" t="s">
        <v>240</v>
      </c>
      <c r="E54" s="28" t="s">
        <v>98</v>
      </c>
      <c r="F54" s="339">
        <v>57.29</v>
      </c>
      <c r="G54" s="44">
        <f>'Quat Const.'!F44</f>
        <v>112.41</v>
      </c>
      <c r="H54" s="44">
        <f>G54</f>
        <v>112.41</v>
      </c>
      <c r="I54" s="37">
        <f>H54-G54</f>
        <v>0</v>
      </c>
      <c r="J54" s="37">
        <f>ROUND((F54*(1+$K$8))*(1+$G$8),2)</f>
        <v>72.08</v>
      </c>
      <c r="K54" s="288">
        <f>TRUNC(J54*G54,2)</f>
        <v>8102.51</v>
      </c>
      <c r="L54" s="38">
        <f t="shared" si="37"/>
        <v>0</v>
      </c>
      <c r="M54" s="213">
        <f>N54/$H54*100</f>
        <v>0</v>
      </c>
      <c r="N54" s="98"/>
      <c r="O54" s="98">
        <f>TRUNC(N54*$J54,2)</f>
        <v>0</v>
      </c>
      <c r="P54" s="214">
        <f>Q54/$H54*100</f>
        <v>0</v>
      </c>
      <c r="Q54" s="98"/>
      <c r="R54" s="98">
        <f>TRUNC(Q54*$J54,2)</f>
        <v>0</v>
      </c>
      <c r="S54" s="214">
        <f>T54/$H54*100</f>
        <v>0</v>
      </c>
      <c r="T54" s="98"/>
      <c r="U54" s="98">
        <f>TRUNC(T54*$J54,2)</f>
        <v>0</v>
      </c>
      <c r="V54" s="214">
        <f>W54/$H54*100</f>
        <v>0</v>
      </c>
      <c r="W54" s="98"/>
      <c r="X54" s="98">
        <f>TRUNC(W54*$J54,2)</f>
        <v>0</v>
      </c>
      <c r="Y54" s="214">
        <f>Z54/$H54*100</f>
        <v>0</v>
      </c>
      <c r="Z54" s="98"/>
      <c r="AA54" s="98">
        <f>TRUNC(Z54*$J54,2)</f>
        <v>0</v>
      </c>
      <c r="AB54" s="214">
        <f>AC54/$H54*100</f>
        <v>0</v>
      </c>
      <c r="AC54" s="98"/>
      <c r="AD54" s="98">
        <f>TRUNC(AC54*$J54,2)</f>
        <v>0</v>
      </c>
      <c r="AE54" s="214">
        <f>AF54/$H54*100</f>
        <v>0</v>
      </c>
      <c r="AF54" s="98"/>
      <c r="AG54" s="98">
        <f>TRUNC(AF54*$J54,2)</f>
        <v>0</v>
      </c>
      <c r="AH54" s="214">
        <f>AI54/$H54*100</f>
        <v>0</v>
      </c>
      <c r="AI54" s="98"/>
      <c r="AJ54" s="98">
        <f>TRUNC(AI54*$J54,2)</f>
        <v>0</v>
      </c>
      <c r="AK54" s="214">
        <f>AL54/$H54*100</f>
        <v>0</v>
      </c>
      <c r="AL54" s="98"/>
      <c r="AM54" s="98">
        <f>TRUNC(AL54*$J54,2)</f>
        <v>0</v>
      </c>
      <c r="AN54" s="214">
        <f>AO54/$H54*100</f>
        <v>0</v>
      </c>
      <c r="AO54" s="98"/>
      <c r="AP54" s="98">
        <f>TRUNC(AO54*$J54,2)</f>
        <v>0</v>
      </c>
      <c r="AQ54" s="214">
        <f>AR54/$H54*100</f>
        <v>0</v>
      </c>
      <c r="AR54" s="98"/>
      <c r="AS54" s="98">
        <f>TRUNC(AR54*$J54,2)</f>
        <v>0</v>
      </c>
      <c r="AT54" s="214">
        <f>AU54/$H54*100</f>
        <v>0</v>
      </c>
      <c r="AU54" s="98"/>
      <c r="AV54" s="215">
        <f>TRUNC(AU54*$J54,2)</f>
        <v>0</v>
      </c>
      <c r="AW54" s="214">
        <f>AX54/$H54*100</f>
        <v>0</v>
      </c>
      <c r="AX54" s="98">
        <f>Q54+N54+T54+W54+Z54+AC54+AF54+AI54+AL54+AO54+AR54+AU54</f>
        <v>0</v>
      </c>
      <c r="AY54" s="204">
        <f>TRUNC(AX54*$J54,2)</f>
        <v>0</v>
      </c>
      <c r="AZ54" s="214">
        <f>BA54/$H54*100</f>
        <v>100</v>
      </c>
      <c r="BA54" s="98">
        <f>H54-AX54</f>
        <v>112.41</v>
      </c>
      <c r="BB54" s="204">
        <f>TRUNC(BA54*$J54,2)</f>
        <v>8102.51</v>
      </c>
    </row>
    <row r="55" spans="1:54" s="3" customFormat="1" ht="15" x14ac:dyDescent="0.2">
      <c r="A55" s="39" t="s">
        <v>241</v>
      </c>
      <c r="B55" s="338" t="s">
        <v>218</v>
      </c>
      <c r="C55" s="28" t="s">
        <v>219</v>
      </c>
      <c r="D55" s="345" t="s">
        <v>220</v>
      </c>
      <c r="E55" s="28" t="s">
        <v>221</v>
      </c>
      <c r="F55" s="339">
        <v>7.39</v>
      </c>
      <c r="G55" s="44">
        <f>'Quat Const.'!F45</f>
        <v>430.51</v>
      </c>
      <c r="H55" s="44">
        <f>G55</f>
        <v>430.51</v>
      </c>
      <c r="I55" s="37">
        <f>H55-G55</f>
        <v>0</v>
      </c>
      <c r="J55" s="37">
        <f>ROUND((F55*(1+$K$8))*(1+$G$8),2)</f>
        <v>9.3000000000000007</v>
      </c>
      <c r="K55" s="288">
        <f>TRUNC(J55*G55,2)</f>
        <v>4003.74</v>
      </c>
      <c r="L55" s="38">
        <f t="shared" si="37"/>
        <v>0</v>
      </c>
      <c r="M55" s="213">
        <f>N55/$H55*100</f>
        <v>0</v>
      </c>
      <c r="N55" s="98"/>
      <c r="O55" s="98">
        <f>TRUNC(N55*$J55,2)</f>
        <v>0</v>
      </c>
      <c r="P55" s="214">
        <f>Q55/$H55*100</f>
        <v>0</v>
      </c>
      <c r="Q55" s="98"/>
      <c r="R55" s="98">
        <f>TRUNC(Q55*$J55,2)</f>
        <v>0</v>
      </c>
      <c r="S55" s="214">
        <f>T55/$H55*100</f>
        <v>0</v>
      </c>
      <c r="T55" s="98"/>
      <c r="U55" s="98">
        <f>TRUNC(T55*$J55,2)</f>
        <v>0</v>
      </c>
      <c r="V55" s="214">
        <f>W55/$H55*100</f>
        <v>0</v>
      </c>
      <c r="W55" s="98"/>
      <c r="X55" s="98">
        <f>TRUNC(W55*$J55,2)</f>
        <v>0</v>
      </c>
      <c r="Y55" s="214">
        <f>Z55/$H55*100</f>
        <v>0</v>
      </c>
      <c r="Z55" s="98"/>
      <c r="AA55" s="98">
        <f>TRUNC(Z55*$J55,2)</f>
        <v>0</v>
      </c>
      <c r="AB55" s="214">
        <f>AC55/$H55*100</f>
        <v>0</v>
      </c>
      <c r="AC55" s="98"/>
      <c r="AD55" s="98">
        <f>TRUNC(AC55*$J55,2)</f>
        <v>0</v>
      </c>
      <c r="AE55" s="214">
        <f>AF55/$H55*100</f>
        <v>0</v>
      </c>
      <c r="AF55" s="98"/>
      <c r="AG55" s="98">
        <f>TRUNC(AF55*$J55,2)</f>
        <v>0</v>
      </c>
      <c r="AH55" s="214">
        <f>AI55/$H55*100</f>
        <v>0</v>
      </c>
      <c r="AI55" s="98"/>
      <c r="AJ55" s="98">
        <f>TRUNC(AI55*$J55,2)</f>
        <v>0</v>
      </c>
      <c r="AK55" s="214">
        <f>AL55/$H55*100</f>
        <v>0</v>
      </c>
      <c r="AL55" s="98"/>
      <c r="AM55" s="98">
        <f>TRUNC(AL55*$J55,2)</f>
        <v>0</v>
      </c>
      <c r="AN55" s="214">
        <f>AO55/$H55*100</f>
        <v>0</v>
      </c>
      <c r="AO55" s="98"/>
      <c r="AP55" s="98">
        <f>TRUNC(AO55*$J55,2)</f>
        <v>0</v>
      </c>
      <c r="AQ55" s="214">
        <f>AR55/$H55*100</f>
        <v>0</v>
      </c>
      <c r="AR55" s="98"/>
      <c r="AS55" s="98">
        <f>TRUNC(AR55*$J55,2)</f>
        <v>0</v>
      </c>
      <c r="AT55" s="214">
        <f>AU55/$H55*100</f>
        <v>0</v>
      </c>
      <c r="AU55" s="98"/>
      <c r="AV55" s="215">
        <f>TRUNC(AU55*$J55,2)</f>
        <v>0</v>
      </c>
      <c r="AW55" s="214">
        <f>AX55/$H55*100</f>
        <v>0</v>
      </c>
      <c r="AX55" s="98">
        <f>Q55+N55+T55+W55+Z55+AC55+AF55+AI55+AL55+AO55+AR55+AU55</f>
        <v>0</v>
      </c>
      <c r="AY55" s="204">
        <f>TRUNC(AX55*$J55,2)</f>
        <v>0</v>
      </c>
      <c r="AZ55" s="214">
        <f>BA55/$H55*100</f>
        <v>100</v>
      </c>
      <c r="BA55" s="98">
        <f>H55-AX55</f>
        <v>430.51</v>
      </c>
      <c r="BB55" s="204">
        <f>TRUNC(BA55*$J55,2)</f>
        <v>4003.74</v>
      </c>
    </row>
    <row r="56" spans="1:54" s="3" customFormat="1" ht="15" x14ac:dyDescent="0.2">
      <c r="A56" s="39" t="s">
        <v>242</v>
      </c>
      <c r="B56" s="338" t="s">
        <v>223</v>
      </c>
      <c r="C56" s="28" t="s">
        <v>224</v>
      </c>
      <c r="D56" s="345" t="s">
        <v>225</v>
      </c>
      <c r="E56" s="28" t="s">
        <v>226</v>
      </c>
      <c r="F56" s="339">
        <v>7.48</v>
      </c>
      <c r="G56" s="44">
        <f>'Quat Const.'!F46</f>
        <v>107.63</v>
      </c>
      <c r="H56" s="44">
        <f>G56</f>
        <v>107.63</v>
      </c>
      <c r="I56" s="37">
        <f>H56-G56</f>
        <v>0</v>
      </c>
      <c r="J56" s="37">
        <f>ROUND((F56*(1+$K$8))*(1+$G$8),2)</f>
        <v>9.41</v>
      </c>
      <c r="K56" s="288">
        <f>TRUNC(J56*G56,2)</f>
        <v>1012.79</v>
      </c>
      <c r="L56" s="38">
        <f t="shared" si="37"/>
        <v>0</v>
      </c>
      <c r="M56" s="213">
        <f>N56/$H56*100</f>
        <v>0</v>
      </c>
      <c r="N56" s="98"/>
      <c r="O56" s="98">
        <f>TRUNC(N56*$J56,2)</f>
        <v>0</v>
      </c>
      <c r="P56" s="214">
        <f>Q56/$H56*100</f>
        <v>0</v>
      </c>
      <c r="Q56" s="98"/>
      <c r="R56" s="98">
        <f>TRUNC(Q56*$J56,2)</f>
        <v>0</v>
      </c>
      <c r="S56" s="214">
        <f>T56/$H56*100</f>
        <v>0</v>
      </c>
      <c r="T56" s="98"/>
      <c r="U56" s="98">
        <f>TRUNC(T56*$J56,2)</f>
        <v>0</v>
      </c>
      <c r="V56" s="214">
        <f>W56/$H56*100</f>
        <v>0</v>
      </c>
      <c r="W56" s="98"/>
      <c r="X56" s="98">
        <f>TRUNC(W56*$J56,2)</f>
        <v>0</v>
      </c>
      <c r="Y56" s="214">
        <f>Z56/$H56*100</f>
        <v>0</v>
      </c>
      <c r="Z56" s="98"/>
      <c r="AA56" s="98">
        <f>TRUNC(Z56*$J56,2)</f>
        <v>0</v>
      </c>
      <c r="AB56" s="214">
        <f>AC56/$H56*100</f>
        <v>0</v>
      </c>
      <c r="AC56" s="98"/>
      <c r="AD56" s="98">
        <f>TRUNC(AC56*$J56,2)</f>
        <v>0</v>
      </c>
      <c r="AE56" s="214">
        <f>AF56/$H56*100</f>
        <v>0</v>
      </c>
      <c r="AF56" s="98"/>
      <c r="AG56" s="98">
        <f>TRUNC(AF56*$J56,2)</f>
        <v>0</v>
      </c>
      <c r="AH56" s="214">
        <f>AI56/$H56*100</f>
        <v>0</v>
      </c>
      <c r="AI56" s="98"/>
      <c r="AJ56" s="98">
        <f>TRUNC(AI56*$J56,2)</f>
        <v>0</v>
      </c>
      <c r="AK56" s="214">
        <f>AL56/$H56*100</f>
        <v>0</v>
      </c>
      <c r="AL56" s="98"/>
      <c r="AM56" s="98">
        <f>TRUNC(AL56*$J56,2)</f>
        <v>0</v>
      </c>
      <c r="AN56" s="214">
        <f>AO56/$H56*100</f>
        <v>0</v>
      </c>
      <c r="AO56" s="98"/>
      <c r="AP56" s="98">
        <f>TRUNC(AO56*$J56,2)</f>
        <v>0</v>
      </c>
      <c r="AQ56" s="214">
        <f>AR56/$H56*100</f>
        <v>0</v>
      </c>
      <c r="AR56" s="98"/>
      <c r="AS56" s="98">
        <f>TRUNC(AR56*$J56,2)</f>
        <v>0</v>
      </c>
      <c r="AT56" s="214">
        <f>AU56/$H56*100</f>
        <v>0</v>
      </c>
      <c r="AU56" s="98"/>
      <c r="AV56" s="215">
        <f>TRUNC(AU56*$J56,2)</f>
        <v>0</v>
      </c>
      <c r="AW56" s="214">
        <f>AX56/$H56*100</f>
        <v>0</v>
      </c>
      <c r="AX56" s="98">
        <f>Q56+N56+T56+W56+Z56+AC56+AF56+AI56+AL56+AO56+AR56+AU56</f>
        <v>0</v>
      </c>
      <c r="AY56" s="204">
        <f>TRUNC(AX56*$J56,2)</f>
        <v>0</v>
      </c>
      <c r="AZ56" s="214">
        <f>BA56/$H56*100</f>
        <v>100</v>
      </c>
      <c r="BA56" s="98">
        <f>H56-AX56</f>
        <v>107.63</v>
      </c>
      <c r="BB56" s="204">
        <f>TRUNC(BA56*$J56,2)</f>
        <v>1012.79</v>
      </c>
    </row>
    <row r="57" spans="1:54" s="3" customFormat="1" ht="15" customHeight="1" x14ac:dyDescent="0.2">
      <c r="A57" s="34"/>
      <c r="B57" s="36"/>
      <c r="C57" s="36"/>
      <c r="D57" s="285"/>
      <c r="E57" s="36"/>
      <c r="F57" s="37"/>
      <c r="G57" s="37"/>
      <c r="H57" s="642" t="s">
        <v>125</v>
      </c>
      <c r="I57" s="642"/>
      <c r="J57" s="642"/>
      <c r="K57" s="172">
        <f>SUM(K52:K56)</f>
        <v>15670.169999999998</v>
      </c>
      <c r="L57" s="43">
        <f>SUM(L52:L56)</f>
        <v>0</v>
      </c>
      <c r="M57" s="648" t="s">
        <v>125</v>
      </c>
      <c r="N57" s="642"/>
      <c r="O57" s="172">
        <f>SUM(O52:O56)</f>
        <v>0</v>
      </c>
      <c r="P57" s="641" t="s">
        <v>125</v>
      </c>
      <c r="Q57" s="642"/>
      <c r="R57" s="172">
        <f>SUM(R52:R56)</f>
        <v>0</v>
      </c>
      <c r="S57" s="641" t="s">
        <v>125</v>
      </c>
      <c r="T57" s="642"/>
      <c r="U57" s="172">
        <f>SUM(U52:U56)</f>
        <v>0</v>
      </c>
      <c r="V57" s="641" t="s">
        <v>125</v>
      </c>
      <c r="W57" s="642"/>
      <c r="X57" s="172">
        <f>SUM(X52:X56)</f>
        <v>0</v>
      </c>
      <c r="Y57" s="641" t="s">
        <v>125</v>
      </c>
      <c r="Z57" s="642"/>
      <c r="AA57" s="172">
        <f>SUM(AA52:AA56)</f>
        <v>0</v>
      </c>
      <c r="AB57" s="641" t="s">
        <v>125</v>
      </c>
      <c r="AC57" s="642"/>
      <c r="AD57" s="172">
        <f>SUM(AD52:AD56)</f>
        <v>0</v>
      </c>
      <c r="AE57" s="641" t="s">
        <v>125</v>
      </c>
      <c r="AF57" s="642"/>
      <c r="AG57" s="172">
        <f>SUM(AG52:AG56)</f>
        <v>0</v>
      </c>
      <c r="AH57" s="641" t="s">
        <v>125</v>
      </c>
      <c r="AI57" s="642"/>
      <c r="AJ57" s="172">
        <f>SUM(AJ52:AJ56)</f>
        <v>0</v>
      </c>
      <c r="AK57" s="641" t="s">
        <v>125</v>
      </c>
      <c r="AL57" s="642"/>
      <c r="AM57" s="172">
        <f>SUM(AM52:AM56)</f>
        <v>0</v>
      </c>
      <c r="AN57" s="641" t="s">
        <v>125</v>
      </c>
      <c r="AO57" s="642"/>
      <c r="AP57" s="172">
        <f>SUM(AP52:AP56)</f>
        <v>0</v>
      </c>
      <c r="AQ57" s="641" t="s">
        <v>125</v>
      </c>
      <c r="AR57" s="642"/>
      <c r="AS57" s="172">
        <f>SUM(AS52:AS56)</f>
        <v>0</v>
      </c>
      <c r="AT57" s="641" t="s">
        <v>125</v>
      </c>
      <c r="AU57" s="642"/>
      <c r="AV57" s="173">
        <f>SUM(AV52:AV56)</f>
        <v>0</v>
      </c>
      <c r="AW57" s="641" t="s">
        <v>125</v>
      </c>
      <c r="AX57" s="642"/>
      <c r="AY57" s="43">
        <f>SUM(AY52:AY56)</f>
        <v>0</v>
      </c>
      <c r="AZ57" s="641" t="s">
        <v>125</v>
      </c>
      <c r="BA57" s="642"/>
      <c r="BB57" s="43">
        <f>SUM(BB52:BB56)</f>
        <v>15670.169999999998</v>
      </c>
    </row>
    <row r="58" spans="1:54" s="3" customFormat="1" ht="15" x14ac:dyDescent="0.2">
      <c r="A58" s="34" t="s">
        <v>243</v>
      </c>
      <c r="B58" s="46"/>
      <c r="C58" s="46"/>
      <c r="D58" s="93" t="s">
        <v>244</v>
      </c>
      <c r="E58" s="36"/>
      <c r="F58" s="37"/>
      <c r="G58" s="385"/>
      <c r="H58" s="255"/>
      <c r="I58" s="385"/>
      <c r="J58" s="37"/>
      <c r="K58" s="288"/>
      <c r="L58" s="38"/>
      <c r="M58" s="213"/>
      <c r="N58" s="98"/>
      <c r="O58" s="98"/>
      <c r="P58" s="214"/>
      <c r="Q58" s="98"/>
      <c r="R58" s="98"/>
      <c r="S58" s="214"/>
      <c r="T58" s="98"/>
      <c r="U58" s="98"/>
      <c r="V58" s="214"/>
      <c r="W58" s="98"/>
      <c r="X58" s="98"/>
      <c r="Y58" s="214"/>
      <c r="Z58" s="98"/>
      <c r="AA58" s="98"/>
      <c r="AB58" s="214"/>
      <c r="AC58" s="98"/>
      <c r="AD58" s="98"/>
      <c r="AE58" s="214"/>
      <c r="AF58" s="98"/>
      <c r="AG58" s="98"/>
      <c r="AH58" s="214"/>
      <c r="AI58" s="98"/>
      <c r="AJ58" s="98"/>
      <c r="AK58" s="214"/>
      <c r="AL58" s="98"/>
      <c r="AM58" s="98"/>
      <c r="AN58" s="214"/>
      <c r="AO58" s="98"/>
      <c r="AP58" s="98"/>
      <c r="AQ58" s="214"/>
      <c r="AR58" s="98"/>
      <c r="AS58" s="98"/>
      <c r="AT58" s="214"/>
      <c r="AU58" s="98"/>
      <c r="AV58" s="215"/>
      <c r="AW58" s="214"/>
      <c r="AX58" s="98"/>
      <c r="AY58" s="204"/>
      <c r="AZ58" s="214"/>
      <c r="BA58" s="98"/>
      <c r="BB58" s="204"/>
    </row>
    <row r="59" spans="1:54" s="3" customFormat="1" ht="15" x14ac:dyDescent="0.2">
      <c r="A59" s="39" t="s">
        <v>245</v>
      </c>
      <c r="B59" s="338" t="s">
        <v>246</v>
      </c>
      <c r="C59" s="28" t="s">
        <v>247</v>
      </c>
      <c r="D59" s="58" t="s">
        <v>248</v>
      </c>
      <c r="E59" s="28" t="s">
        <v>98</v>
      </c>
      <c r="F59" s="329">
        <v>8.5500000000000007</v>
      </c>
      <c r="G59" s="44">
        <f>'Quat Const.'!F50</f>
        <v>308.61</v>
      </c>
      <c r="H59" s="256">
        <f>G59</f>
        <v>308.61</v>
      </c>
      <c r="I59" s="37">
        <f>H59-G59</f>
        <v>0</v>
      </c>
      <c r="J59" s="37">
        <f>ROUND((F59*(1+$K$8))*(1+$G$8),2)</f>
        <v>10.76</v>
      </c>
      <c r="K59" s="288">
        <f>TRUNC(J59*G59,2)</f>
        <v>3320.64</v>
      </c>
      <c r="L59" s="38">
        <f t="shared" si="37"/>
        <v>0</v>
      </c>
      <c r="M59" s="213">
        <f>N59/$H59*100</f>
        <v>0</v>
      </c>
      <c r="N59" s="98"/>
      <c r="O59" s="98">
        <f>TRUNC(N59*$J59,2)</f>
        <v>0</v>
      </c>
      <c r="P59" s="214">
        <f>Q59/$H59*100</f>
        <v>0</v>
      </c>
      <c r="Q59" s="98"/>
      <c r="R59" s="98">
        <f>TRUNC(Q59*$J59,2)</f>
        <v>0</v>
      </c>
      <c r="S59" s="214">
        <f>T59/$H59*100</f>
        <v>0</v>
      </c>
      <c r="T59" s="98"/>
      <c r="U59" s="98">
        <f>TRUNC(T59*$J59,2)</f>
        <v>0</v>
      </c>
      <c r="V59" s="214">
        <f>W59/$H59*100</f>
        <v>0</v>
      </c>
      <c r="W59" s="98"/>
      <c r="X59" s="98">
        <f>TRUNC(W59*$J59,2)</f>
        <v>0</v>
      </c>
      <c r="Y59" s="214">
        <f>Z59/$H59*100</f>
        <v>0</v>
      </c>
      <c r="Z59" s="98"/>
      <c r="AA59" s="98">
        <f>TRUNC(Z59*$J59,2)</f>
        <v>0</v>
      </c>
      <c r="AB59" s="214">
        <f>AC59/$H59*100</f>
        <v>0</v>
      </c>
      <c r="AC59" s="98"/>
      <c r="AD59" s="98">
        <f>TRUNC(AC59*$J59,2)</f>
        <v>0</v>
      </c>
      <c r="AE59" s="214">
        <f>AF59/$H59*100</f>
        <v>0</v>
      </c>
      <c r="AF59" s="98"/>
      <c r="AG59" s="98">
        <f>TRUNC(AF59*$J59,2)</f>
        <v>0</v>
      </c>
      <c r="AH59" s="214">
        <f>AI59/$H59*100</f>
        <v>0</v>
      </c>
      <c r="AI59" s="98"/>
      <c r="AJ59" s="98">
        <f>TRUNC(AI59*$J59,2)</f>
        <v>0</v>
      </c>
      <c r="AK59" s="214">
        <f>AL59/$H59*100</f>
        <v>0</v>
      </c>
      <c r="AL59" s="98"/>
      <c r="AM59" s="98">
        <f>TRUNC(AL59*$J59,2)</f>
        <v>0</v>
      </c>
      <c r="AN59" s="214">
        <f>AO59/$H59*100</f>
        <v>0</v>
      </c>
      <c r="AO59" s="98"/>
      <c r="AP59" s="98">
        <f>TRUNC(AO59*$J59,2)</f>
        <v>0</v>
      </c>
      <c r="AQ59" s="214">
        <f>AR59/$H59*100</f>
        <v>0</v>
      </c>
      <c r="AR59" s="98"/>
      <c r="AS59" s="98">
        <f>TRUNC(AR59*$J59,2)</f>
        <v>0</v>
      </c>
      <c r="AT59" s="214">
        <f>AU59/$H59*100</f>
        <v>0</v>
      </c>
      <c r="AU59" s="98"/>
      <c r="AV59" s="215">
        <f>TRUNC(AU59*$J59,2)</f>
        <v>0</v>
      </c>
      <c r="AW59" s="214">
        <f>AX59/$H59*100</f>
        <v>0</v>
      </c>
      <c r="AX59" s="98">
        <f>Q59+N59+T59+W59+Z59+AC59+AF59+AI59+AL59+AO59+AR59+AU59</f>
        <v>0</v>
      </c>
      <c r="AY59" s="204">
        <f>TRUNC(AX59*$J59,2)</f>
        <v>0</v>
      </c>
      <c r="AZ59" s="214">
        <f>BA59/$H59*100</f>
        <v>100</v>
      </c>
      <c r="BA59" s="98">
        <f>H59-AX59</f>
        <v>308.61</v>
      </c>
      <c r="BB59" s="204">
        <f>TRUNC(BA59*$J59,2)</f>
        <v>3320.64</v>
      </c>
    </row>
    <row r="60" spans="1:54" s="3" customFormat="1" ht="15" customHeight="1" x14ac:dyDescent="0.2">
      <c r="A60" s="34"/>
      <c r="B60" s="46"/>
      <c r="C60" s="46"/>
      <c r="D60" s="27"/>
      <c r="E60" s="45"/>
      <c r="F60" s="37"/>
      <c r="G60" s="37"/>
      <c r="H60" s="642" t="s">
        <v>125</v>
      </c>
      <c r="I60" s="642"/>
      <c r="J60" s="642"/>
      <c r="K60" s="172">
        <f>SUM(K58:K59)</f>
        <v>3320.64</v>
      </c>
      <c r="L60" s="43">
        <f>SUM(L58:L59)</f>
        <v>0</v>
      </c>
      <c r="M60" s="648" t="s">
        <v>125</v>
      </c>
      <c r="N60" s="642"/>
      <c r="O60" s="43">
        <f>SUM(O58:O59)</f>
        <v>0</v>
      </c>
      <c r="P60" s="642" t="s">
        <v>125</v>
      </c>
      <c r="Q60" s="642"/>
      <c r="R60" s="43">
        <f>SUM(R58:R59)</f>
        <v>0</v>
      </c>
      <c r="S60" s="642" t="s">
        <v>125</v>
      </c>
      <c r="T60" s="642"/>
      <c r="U60" s="43">
        <f>SUM(U58:U59)</f>
        <v>0</v>
      </c>
      <c r="V60" s="642" t="s">
        <v>125</v>
      </c>
      <c r="W60" s="642"/>
      <c r="X60" s="43">
        <f>SUM(X58:X59)</f>
        <v>0</v>
      </c>
      <c r="Y60" s="642" t="s">
        <v>125</v>
      </c>
      <c r="Z60" s="642"/>
      <c r="AA60" s="43">
        <f>SUM(AA58:AA59)</f>
        <v>0</v>
      </c>
      <c r="AB60" s="642" t="s">
        <v>125</v>
      </c>
      <c r="AC60" s="642"/>
      <c r="AD60" s="43">
        <f>SUM(AD58:AD59)</f>
        <v>0</v>
      </c>
      <c r="AE60" s="642" t="s">
        <v>125</v>
      </c>
      <c r="AF60" s="642"/>
      <c r="AG60" s="43">
        <f>SUM(AG58:AG59)</f>
        <v>0</v>
      </c>
      <c r="AH60" s="642" t="s">
        <v>125</v>
      </c>
      <c r="AI60" s="642"/>
      <c r="AJ60" s="43">
        <f>SUM(AJ58:AJ59)</f>
        <v>0</v>
      </c>
      <c r="AK60" s="642" t="s">
        <v>125</v>
      </c>
      <c r="AL60" s="642"/>
      <c r="AM60" s="43">
        <f>SUM(AM58:AM59)</f>
        <v>0</v>
      </c>
      <c r="AN60" s="642" t="s">
        <v>125</v>
      </c>
      <c r="AO60" s="642"/>
      <c r="AP60" s="43">
        <f>SUM(AP58:AP59)</f>
        <v>0</v>
      </c>
      <c r="AQ60" s="642" t="s">
        <v>125</v>
      </c>
      <c r="AR60" s="642"/>
      <c r="AS60" s="43">
        <f>SUM(AS58:AS59)</f>
        <v>0</v>
      </c>
      <c r="AT60" s="642" t="s">
        <v>125</v>
      </c>
      <c r="AU60" s="642"/>
      <c r="AV60" s="43">
        <f>SUM(AV58:AV59)</f>
        <v>0</v>
      </c>
      <c r="AW60" s="642" t="s">
        <v>125</v>
      </c>
      <c r="AX60" s="642"/>
      <c r="AY60" s="43">
        <f>SUM(AY58:AY59)</f>
        <v>0</v>
      </c>
      <c r="AZ60" s="642" t="s">
        <v>125</v>
      </c>
      <c r="BA60" s="642"/>
      <c r="BB60" s="43">
        <f>SUM(BB58:BB59)</f>
        <v>3320.64</v>
      </c>
    </row>
    <row r="61" spans="1:54" s="3" customFormat="1" ht="15" x14ac:dyDescent="0.2">
      <c r="A61" s="34" t="s">
        <v>249</v>
      </c>
      <c r="B61" s="46"/>
      <c r="C61" s="46"/>
      <c r="D61" s="27" t="s">
        <v>250</v>
      </c>
      <c r="E61" s="45"/>
      <c r="F61" s="37"/>
      <c r="G61" s="385"/>
      <c r="H61" s="255"/>
      <c r="I61" s="385"/>
      <c r="J61" s="37"/>
      <c r="K61" s="288"/>
      <c r="L61" s="38"/>
      <c r="M61" s="213"/>
      <c r="N61" s="98"/>
      <c r="O61" s="98"/>
      <c r="P61" s="214"/>
      <c r="Q61" s="98"/>
      <c r="R61" s="98"/>
      <c r="S61" s="214"/>
      <c r="T61" s="98"/>
      <c r="U61" s="98"/>
      <c r="V61" s="214"/>
      <c r="W61" s="98"/>
      <c r="X61" s="98"/>
      <c r="Y61" s="214"/>
      <c r="Z61" s="98"/>
      <c r="AA61" s="98"/>
      <c r="AB61" s="214"/>
      <c r="AC61" s="98"/>
      <c r="AD61" s="98"/>
      <c r="AE61" s="214"/>
      <c r="AF61" s="98"/>
      <c r="AG61" s="98"/>
      <c r="AH61" s="214"/>
      <c r="AI61" s="98"/>
      <c r="AJ61" s="98"/>
      <c r="AK61" s="214"/>
      <c r="AL61" s="98"/>
      <c r="AM61" s="98"/>
      <c r="AN61" s="214"/>
      <c r="AO61" s="98"/>
      <c r="AP61" s="98"/>
      <c r="AQ61" s="214"/>
      <c r="AR61" s="98"/>
      <c r="AS61" s="98"/>
      <c r="AT61" s="214"/>
      <c r="AU61" s="98"/>
      <c r="AV61" s="215"/>
      <c r="AW61" s="214"/>
      <c r="AX61" s="98"/>
      <c r="AY61" s="204"/>
      <c r="AZ61" s="214"/>
      <c r="BA61" s="98"/>
      <c r="BB61" s="204"/>
    </row>
    <row r="62" spans="1:54" s="3" customFormat="1" ht="42.75" x14ac:dyDescent="0.2">
      <c r="A62" s="39" t="s">
        <v>251</v>
      </c>
      <c r="B62" s="338" t="s">
        <v>252</v>
      </c>
      <c r="C62" s="28" t="s">
        <v>253</v>
      </c>
      <c r="D62" s="281" t="s">
        <v>254</v>
      </c>
      <c r="E62" s="28" t="s">
        <v>98</v>
      </c>
      <c r="F62" s="339">
        <v>24.01</v>
      </c>
      <c r="G62" s="44">
        <f>'Quat Const.'!F55</f>
        <v>300.58999999999997</v>
      </c>
      <c r="H62" s="256">
        <f>G62</f>
        <v>300.58999999999997</v>
      </c>
      <c r="I62" s="37">
        <f>H62-G62</f>
        <v>0</v>
      </c>
      <c r="J62" s="37">
        <f>ROUND((F62*(1+$K$8))*(1+$G$8),2)</f>
        <v>30.21</v>
      </c>
      <c r="K62" s="288">
        <f>TRUNC(J62*G62,2)</f>
        <v>9080.82</v>
      </c>
      <c r="L62" s="38">
        <f t="shared" si="37"/>
        <v>0</v>
      </c>
      <c r="M62" s="213">
        <f>N62/$H62*100</f>
        <v>0</v>
      </c>
      <c r="N62" s="98"/>
      <c r="O62" s="98">
        <f>TRUNC(N62*$J62,2)</f>
        <v>0</v>
      </c>
      <c r="P62" s="214">
        <f>Q62/$H62*100</f>
        <v>0</v>
      </c>
      <c r="Q62" s="98"/>
      <c r="R62" s="98">
        <f>TRUNC(Q62*$J62,2)</f>
        <v>0</v>
      </c>
      <c r="S62" s="214">
        <f>T62/$H62*100</f>
        <v>0</v>
      </c>
      <c r="T62" s="98"/>
      <c r="U62" s="98">
        <f>TRUNC(T62*$J62,2)</f>
        <v>0</v>
      </c>
      <c r="V62" s="214">
        <f>W62/$H62*100</f>
        <v>0</v>
      </c>
      <c r="W62" s="98"/>
      <c r="X62" s="98">
        <f>TRUNC(W62*$J62,2)</f>
        <v>0</v>
      </c>
      <c r="Y62" s="214">
        <f>Z62/$H62*100</f>
        <v>0</v>
      </c>
      <c r="Z62" s="98"/>
      <c r="AA62" s="98">
        <f>TRUNC(Z62*$J62,2)</f>
        <v>0</v>
      </c>
      <c r="AB62" s="214">
        <f>AC62/$H62*100</f>
        <v>0</v>
      </c>
      <c r="AC62" s="98"/>
      <c r="AD62" s="98">
        <f>TRUNC(AC62*$J62,2)</f>
        <v>0</v>
      </c>
      <c r="AE62" s="214">
        <f>AF62/$H62*100</f>
        <v>0</v>
      </c>
      <c r="AF62" s="98"/>
      <c r="AG62" s="98">
        <f>TRUNC(AF62*$J62,2)</f>
        <v>0</v>
      </c>
      <c r="AH62" s="214">
        <f>AI62/$H62*100</f>
        <v>0</v>
      </c>
      <c r="AI62" s="98"/>
      <c r="AJ62" s="98">
        <f>TRUNC(AI62*$J62,2)</f>
        <v>0</v>
      </c>
      <c r="AK62" s="214">
        <f>AL62/$H62*100</f>
        <v>0</v>
      </c>
      <c r="AL62" s="98"/>
      <c r="AM62" s="98">
        <f>TRUNC(AL62*$J62,2)</f>
        <v>0</v>
      </c>
      <c r="AN62" s="214">
        <f>AO62/$H62*100</f>
        <v>0</v>
      </c>
      <c r="AO62" s="98"/>
      <c r="AP62" s="98">
        <f>TRUNC(AO62*$J62,2)</f>
        <v>0</v>
      </c>
      <c r="AQ62" s="214">
        <f>AR62/$H62*100</f>
        <v>0</v>
      </c>
      <c r="AR62" s="98"/>
      <c r="AS62" s="98">
        <f>TRUNC(AR62*$J62,2)</f>
        <v>0</v>
      </c>
      <c r="AT62" s="214">
        <f>AU62/$H62*100</f>
        <v>0</v>
      </c>
      <c r="AU62" s="98"/>
      <c r="AV62" s="215">
        <f>TRUNC(AU62*$J62,2)</f>
        <v>0</v>
      </c>
      <c r="AW62" s="214">
        <f>AX62/$H62*100</f>
        <v>0</v>
      </c>
      <c r="AX62" s="98">
        <f>Q62+N62+T62+W62+Z62+AC62+AF62+AI62+AL62+AO62+AR62+AU62</f>
        <v>0</v>
      </c>
      <c r="AY62" s="204">
        <f>TRUNC(AX62*$J62,2)</f>
        <v>0</v>
      </c>
      <c r="AZ62" s="214">
        <f>BA62/$H62*100</f>
        <v>100</v>
      </c>
      <c r="BA62" s="98">
        <f>H62-AX62</f>
        <v>300.58999999999997</v>
      </c>
      <c r="BB62" s="204">
        <f>TRUNC(BA62*$J62,2)</f>
        <v>9080.82</v>
      </c>
    </row>
    <row r="63" spans="1:54" s="3" customFormat="1" ht="42.75" x14ac:dyDescent="0.2">
      <c r="A63" s="39" t="s">
        <v>255</v>
      </c>
      <c r="B63" s="338" t="s">
        <v>256</v>
      </c>
      <c r="C63" s="28" t="s">
        <v>257</v>
      </c>
      <c r="D63" s="281" t="s">
        <v>258</v>
      </c>
      <c r="E63" s="28" t="s">
        <v>98</v>
      </c>
      <c r="F63" s="339">
        <v>42.15</v>
      </c>
      <c r="G63" s="44">
        <f>'Quat Const.'!F56</f>
        <v>15.38</v>
      </c>
      <c r="H63" s="256">
        <f>G63</f>
        <v>15.38</v>
      </c>
      <c r="I63" s="37">
        <f>H63-G63</f>
        <v>0</v>
      </c>
      <c r="J63" s="37">
        <f>ROUND((F63*(1+$K$8))*(1+$G$8),2)</f>
        <v>53.03</v>
      </c>
      <c r="K63" s="288">
        <f>TRUNC(J63*G63,2)</f>
        <v>815.6</v>
      </c>
      <c r="L63" s="38">
        <f t="shared" si="37"/>
        <v>0</v>
      </c>
      <c r="M63" s="213">
        <f>N63/$H63*100</f>
        <v>0</v>
      </c>
      <c r="N63" s="98"/>
      <c r="O63" s="98">
        <f>TRUNC(N63*$J63,2)</f>
        <v>0</v>
      </c>
      <c r="P63" s="214">
        <f>Q63/$H63*100</f>
        <v>0</v>
      </c>
      <c r="Q63" s="98"/>
      <c r="R63" s="98">
        <f>TRUNC(Q63*$J63,2)</f>
        <v>0</v>
      </c>
      <c r="S63" s="214">
        <f>T63/$H63*100</f>
        <v>0</v>
      </c>
      <c r="T63" s="98"/>
      <c r="U63" s="98">
        <f>TRUNC(T63*$J63,2)</f>
        <v>0</v>
      </c>
      <c r="V63" s="214">
        <f>W63/$H63*100</f>
        <v>0</v>
      </c>
      <c r="W63" s="98"/>
      <c r="X63" s="98">
        <f>TRUNC(W63*$J63,2)</f>
        <v>0</v>
      </c>
      <c r="Y63" s="214">
        <f>Z63/$H63*100</f>
        <v>0</v>
      </c>
      <c r="Z63" s="98"/>
      <c r="AA63" s="98">
        <f>TRUNC(Z63*$J63,2)</f>
        <v>0</v>
      </c>
      <c r="AB63" s="214">
        <f>AC63/$H63*100</f>
        <v>0</v>
      </c>
      <c r="AC63" s="98"/>
      <c r="AD63" s="98">
        <f>TRUNC(AC63*$J63,2)</f>
        <v>0</v>
      </c>
      <c r="AE63" s="214">
        <f>AF63/$H63*100</f>
        <v>0</v>
      </c>
      <c r="AF63" s="98"/>
      <c r="AG63" s="98">
        <f>TRUNC(AF63*$J63,2)</f>
        <v>0</v>
      </c>
      <c r="AH63" s="214">
        <f>AI63/$H63*100</f>
        <v>0</v>
      </c>
      <c r="AI63" s="98"/>
      <c r="AJ63" s="98">
        <f>TRUNC(AI63*$J63,2)</f>
        <v>0</v>
      </c>
      <c r="AK63" s="214">
        <f>AL63/$H63*100</f>
        <v>0</v>
      </c>
      <c r="AL63" s="98"/>
      <c r="AM63" s="98">
        <f>TRUNC(AL63*$J63,2)</f>
        <v>0</v>
      </c>
      <c r="AN63" s="214">
        <f>AO63/$H63*100</f>
        <v>0</v>
      </c>
      <c r="AO63" s="98"/>
      <c r="AP63" s="98">
        <f>TRUNC(AO63*$J63,2)</f>
        <v>0</v>
      </c>
      <c r="AQ63" s="214">
        <f>AR63/$H63*100</f>
        <v>0</v>
      </c>
      <c r="AR63" s="98"/>
      <c r="AS63" s="98">
        <f>TRUNC(AR63*$J63,2)</f>
        <v>0</v>
      </c>
      <c r="AT63" s="214">
        <f>AU63/$H63*100</f>
        <v>0</v>
      </c>
      <c r="AU63" s="98"/>
      <c r="AV63" s="215">
        <f>TRUNC(AU63*$J63,2)</f>
        <v>0</v>
      </c>
      <c r="AW63" s="214">
        <f>AX63/$H63*100</f>
        <v>0</v>
      </c>
      <c r="AX63" s="98">
        <f>Q63+N63+T63+W63+Z63+AC63+AF63+AI63+AL63+AO63+AR63+AU63</f>
        <v>0</v>
      </c>
      <c r="AY63" s="204">
        <f>TRUNC(AX63*$J63,2)</f>
        <v>0</v>
      </c>
      <c r="AZ63" s="214">
        <f>BA63/$H63*100</f>
        <v>100</v>
      </c>
      <c r="BA63" s="98">
        <f>H63-AX63</f>
        <v>15.38</v>
      </c>
      <c r="BB63" s="204">
        <f>TRUNC(BA63*$J63,2)</f>
        <v>815.6</v>
      </c>
    </row>
    <row r="64" spans="1:54" s="3" customFormat="1" ht="28.5" x14ac:dyDescent="0.2">
      <c r="A64" s="39" t="s">
        <v>259</v>
      </c>
      <c r="B64" s="338" t="s">
        <v>260</v>
      </c>
      <c r="C64" s="28" t="s">
        <v>261</v>
      </c>
      <c r="D64" s="50" t="s">
        <v>262</v>
      </c>
      <c r="E64" s="28" t="s">
        <v>119</v>
      </c>
      <c r="F64" s="339">
        <v>1135.06</v>
      </c>
      <c r="G64" s="44">
        <f>'Quat Const.'!F57</f>
        <v>4.7300000000000004</v>
      </c>
      <c r="H64" s="44">
        <f>G64</f>
        <v>4.7300000000000004</v>
      </c>
      <c r="I64" s="37">
        <f>H64-G64</f>
        <v>0</v>
      </c>
      <c r="J64" s="37">
        <f>ROUND((F64*(1+$K$8))*(1+$G$8),2)</f>
        <v>1428.02</v>
      </c>
      <c r="K64" s="288">
        <f>TRUNC(J64*G64,2)</f>
        <v>6754.53</v>
      </c>
      <c r="L64" s="38">
        <f t="shared" si="37"/>
        <v>0</v>
      </c>
      <c r="M64" s="213">
        <f>N64/$H64*100</f>
        <v>0</v>
      </c>
      <c r="N64" s="98"/>
      <c r="O64" s="98">
        <f>TRUNC(N64*$J64,2)</f>
        <v>0</v>
      </c>
      <c r="P64" s="214">
        <f>Q64/$H64*100</f>
        <v>0</v>
      </c>
      <c r="Q64" s="98"/>
      <c r="R64" s="98">
        <f>TRUNC(Q64*$J64,2)</f>
        <v>0</v>
      </c>
      <c r="S64" s="214">
        <f>T64/$H64*100</f>
        <v>0</v>
      </c>
      <c r="T64" s="98"/>
      <c r="U64" s="98">
        <f>TRUNC(T64*$J64,2)</f>
        <v>0</v>
      </c>
      <c r="V64" s="214">
        <f>W64/$H64*100</f>
        <v>0</v>
      </c>
      <c r="W64" s="98"/>
      <c r="X64" s="98">
        <f>TRUNC(W64*$J64,2)</f>
        <v>0</v>
      </c>
      <c r="Y64" s="214">
        <f>Z64/$H64*100</f>
        <v>0</v>
      </c>
      <c r="Z64" s="98"/>
      <c r="AA64" s="98">
        <f>TRUNC(Z64*$J64,2)</f>
        <v>0</v>
      </c>
      <c r="AB64" s="214">
        <f>AC64/$H64*100</f>
        <v>0</v>
      </c>
      <c r="AC64" s="98"/>
      <c r="AD64" s="98">
        <f>TRUNC(AC64*$J64,2)</f>
        <v>0</v>
      </c>
      <c r="AE64" s="214">
        <f>AF64/$H64*100</f>
        <v>0</v>
      </c>
      <c r="AF64" s="98"/>
      <c r="AG64" s="98">
        <f>TRUNC(AF64*$J64,2)</f>
        <v>0</v>
      </c>
      <c r="AH64" s="214">
        <f>AI64/$H64*100</f>
        <v>0</v>
      </c>
      <c r="AI64" s="98"/>
      <c r="AJ64" s="98">
        <f>TRUNC(AI64*$J64,2)</f>
        <v>0</v>
      </c>
      <c r="AK64" s="214">
        <f>AL64/$H64*100</f>
        <v>0</v>
      </c>
      <c r="AL64" s="98"/>
      <c r="AM64" s="98">
        <f>TRUNC(AL64*$J64,2)</f>
        <v>0</v>
      </c>
      <c r="AN64" s="214">
        <f>AO64/$H64*100</f>
        <v>0</v>
      </c>
      <c r="AO64" s="98"/>
      <c r="AP64" s="98">
        <f>TRUNC(AO64*$J64,2)</f>
        <v>0</v>
      </c>
      <c r="AQ64" s="214">
        <f>AR64/$H64*100</f>
        <v>0</v>
      </c>
      <c r="AR64" s="98"/>
      <c r="AS64" s="98">
        <f>TRUNC(AR64*$J64,2)</f>
        <v>0</v>
      </c>
      <c r="AT64" s="214">
        <f>AU64/$H64*100</f>
        <v>0</v>
      </c>
      <c r="AU64" s="98"/>
      <c r="AV64" s="215">
        <f>TRUNC(AU64*$J64,2)</f>
        <v>0</v>
      </c>
      <c r="AW64" s="214">
        <f>AX64/$H64*100</f>
        <v>0</v>
      </c>
      <c r="AX64" s="98">
        <f>Q64+N64+T64+W64+Z64+AC64+AF64+AI64+AL64+AO64+AR64+AU64</f>
        <v>0</v>
      </c>
      <c r="AY64" s="204">
        <f>TRUNC(AX64*$J64,2)</f>
        <v>0</v>
      </c>
      <c r="AZ64" s="214">
        <f>BA64/$H64*100</f>
        <v>100</v>
      </c>
      <c r="BA64" s="98">
        <f>H64-AX64</f>
        <v>4.7300000000000004</v>
      </c>
      <c r="BB64" s="204">
        <f>TRUNC(BA64*$J64,2)</f>
        <v>6754.53</v>
      </c>
    </row>
    <row r="65" spans="1:54" s="3" customFormat="1" ht="15" customHeight="1" x14ac:dyDescent="0.2">
      <c r="A65" s="34"/>
      <c r="B65" s="46"/>
      <c r="C65" s="46"/>
      <c r="D65" s="27"/>
      <c r="E65" s="45"/>
      <c r="F65" s="37"/>
      <c r="G65" s="37"/>
      <c r="H65" s="642" t="s">
        <v>125</v>
      </c>
      <c r="I65" s="642"/>
      <c r="J65" s="642"/>
      <c r="K65" s="172">
        <f>SUM(K62:K64)</f>
        <v>16650.95</v>
      </c>
      <c r="L65" s="43">
        <f>SUM(L62:L64)</f>
        <v>0</v>
      </c>
      <c r="M65" s="648" t="s">
        <v>125</v>
      </c>
      <c r="N65" s="642"/>
      <c r="O65" s="172">
        <f>SUM(O62:O64)</f>
        <v>0</v>
      </c>
      <c r="P65" s="641" t="s">
        <v>125</v>
      </c>
      <c r="Q65" s="642"/>
      <c r="R65" s="172">
        <f>SUM(R62:R64)</f>
        <v>0</v>
      </c>
      <c r="S65" s="641" t="s">
        <v>125</v>
      </c>
      <c r="T65" s="642"/>
      <c r="U65" s="172">
        <f>SUM(U62:U64)</f>
        <v>0</v>
      </c>
      <c r="V65" s="641" t="s">
        <v>125</v>
      </c>
      <c r="W65" s="642"/>
      <c r="X65" s="172">
        <f>SUM(X62:X64)</f>
        <v>0</v>
      </c>
      <c r="Y65" s="641" t="s">
        <v>125</v>
      </c>
      <c r="Z65" s="642"/>
      <c r="AA65" s="172">
        <f>SUM(AA62:AA64)</f>
        <v>0</v>
      </c>
      <c r="AB65" s="641" t="s">
        <v>125</v>
      </c>
      <c r="AC65" s="642"/>
      <c r="AD65" s="172">
        <f>SUM(AD62:AD64)</f>
        <v>0</v>
      </c>
      <c r="AE65" s="641" t="s">
        <v>125</v>
      </c>
      <c r="AF65" s="642"/>
      <c r="AG65" s="172">
        <f>SUM(AG62:AG64)</f>
        <v>0</v>
      </c>
      <c r="AH65" s="641" t="s">
        <v>125</v>
      </c>
      <c r="AI65" s="642"/>
      <c r="AJ65" s="172">
        <f>SUM(AJ62:AJ64)</f>
        <v>0</v>
      </c>
      <c r="AK65" s="641" t="s">
        <v>125</v>
      </c>
      <c r="AL65" s="642"/>
      <c r="AM65" s="172">
        <f>SUM(AM62:AM64)</f>
        <v>0</v>
      </c>
      <c r="AN65" s="641" t="s">
        <v>125</v>
      </c>
      <c r="AO65" s="642"/>
      <c r="AP65" s="172">
        <f>SUM(AP62:AP64)</f>
        <v>0</v>
      </c>
      <c r="AQ65" s="641" t="s">
        <v>125</v>
      </c>
      <c r="AR65" s="642"/>
      <c r="AS65" s="172">
        <f>SUM(AS62:AS64)</f>
        <v>0</v>
      </c>
      <c r="AT65" s="641" t="s">
        <v>125</v>
      </c>
      <c r="AU65" s="642"/>
      <c r="AV65" s="173">
        <f>SUM(AV62:AV64)</f>
        <v>0</v>
      </c>
      <c r="AW65" s="641" t="s">
        <v>125</v>
      </c>
      <c r="AX65" s="642"/>
      <c r="AY65" s="43">
        <f>SUM(AY62:AY64)</f>
        <v>0</v>
      </c>
      <c r="AZ65" s="641" t="s">
        <v>125</v>
      </c>
      <c r="BA65" s="642"/>
      <c r="BB65" s="43">
        <f>SUM(BB61:BB64)</f>
        <v>16650.95</v>
      </c>
    </row>
    <row r="66" spans="1:54" s="3" customFormat="1" ht="15" x14ac:dyDescent="0.2">
      <c r="A66" s="34" t="s">
        <v>263</v>
      </c>
      <c r="B66" s="47"/>
      <c r="C66" s="47"/>
      <c r="D66" s="48" t="s">
        <v>264</v>
      </c>
      <c r="E66" s="42"/>
      <c r="F66" s="37"/>
      <c r="G66" s="49"/>
      <c r="H66" s="257"/>
      <c r="I66" s="49"/>
      <c r="J66" s="37"/>
      <c r="K66" s="288"/>
      <c r="L66" s="38"/>
      <c r="M66" s="213"/>
      <c r="N66" s="98"/>
      <c r="O66" s="98"/>
      <c r="P66" s="214"/>
      <c r="Q66" s="98"/>
      <c r="R66" s="98"/>
      <c r="S66" s="214"/>
      <c r="T66" s="98"/>
      <c r="U66" s="98"/>
      <c r="V66" s="214"/>
      <c r="W66" s="98"/>
      <c r="X66" s="98"/>
      <c r="Y66" s="214"/>
      <c r="Z66" s="98"/>
      <c r="AA66" s="98"/>
      <c r="AB66" s="214"/>
      <c r="AC66" s="98"/>
      <c r="AD66" s="98"/>
      <c r="AE66" s="214"/>
      <c r="AF66" s="98"/>
      <c r="AG66" s="98"/>
      <c r="AH66" s="214"/>
      <c r="AI66" s="98"/>
      <c r="AJ66" s="98"/>
      <c r="AK66" s="214"/>
      <c r="AL66" s="98"/>
      <c r="AM66" s="98"/>
      <c r="AN66" s="214"/>
      <c r="AO66" s="98"/>
      <c r="AP66" s="98"/>
      <c r="AQ66" s="214"/>
      <c r="AR66" s="98"/>
      <c r="AS66" s="98"/>
      <c r="AT66" s="214"/>
      <c r="AU66" s="98"/>
      <c r="AV66" s="215"/>
      <c r="AW66" s="214"/>
      <c r="AX66" s="98"/>
      <c r="AY66" s="204"/>
      <c r="AZ66" s="214"/>
      <c r="BA66" s="98"/>
      <c r="BB66" s="204"/>
    </row>
    <row r="67" spans="1:54" s="3" customFormat="1" ht="15" x14ac:dyDescent="0.2">
      <c r="A67" s="39" t="s">
        <v>265</v>
      </c>
      <c r="B67" s="338" t="s">
        <v>266</v>
      </c>
      <c r="C67" s="28" t="s">
        <v>267</v>
      </c>
      <c r="D67" s="58" t="s">
        <v>268</v>
      </c>
      <c r="E67" s="28" t="s">
        <v>98</v>
      </c>
      <c r="F67" s="339">
        <v>53.79</v>
      </c>
      <c r="G67" s="49">
        <f>'Quat Const.'!F60</f>
        <v>1456.32</v>
      </c>
      <c r="H67" s="257">
        <f>G67</f>
        <v>1456.32</v>
      </c>
      <c r="I67" s="37">
        <f t="shared" ref="I67:I75" si="107">H67-G67</f>
        <v>0</v>
      </c>
      <c r="J67" s="37">
        <f t="shared" ref="J67:J75" si="108">ROUND((F67*(1+$K$8))*(1+$G$8),2)</f>
        <v>67.67</v>
      </c>
      <c r="K67" s="288">
        <f t="shared" ref="K67:K75" si="109">TRUNC(J67*G67,2)</f>
        <v>98549.17</v>
      </c>
      <c r="L67" s="38">
        <f t="shared" si="37"/>
        <v>0</v>
      </c>
      <c r="M67" s="213">
        <f t="shared" ref="M67:M75" si="110">N67/$H67*100</f>
        <v>0</v>
      </c>
      <c r="N67" s="98"/>
      <c r="O67" s="98">
        <f t="shared" ref="O67:O75" si="111">TRUNC(N67*$J67,2)</f>
        <v>0</v>
      </c>
      <c r="P67" s="214">
        <f t="shared" ref="P67:P75" si="112">Q67/$H67*100</f>
        <v>0</v>
      </c>
      <c r="Q67" s="98"/>
      <c r="R67" s="98">
        <f t="shared" ref="R67:R75" si="113">TRUNC(Q67*$J67,2)</f>
        <v>0</v>
      </c>
      <c r="S67" s="214">
        <f t="shared" ref="S67:S75" si="114">T67/$H67*100</f>
        <v>0</v>
      </c>
      <c r="T67" s="98"/>
      <c r="U67" s="98">
        <f t="shared" ref="U67:U75" si="115">TRUNC(T67*$J67,2)</f>
        <v>0</v>
      </c>
      <c r="V67" s="214">
        <f t="shared" ref="V67:V75" si="116">W67/$H67*100</f>
        <v>0</v>
      </c>
      <c r="W67" s="98"/>
      <c r="X67" s="98">
        <f t="shared" ref="X67:X75" si="117">TRUNC(W67*$J67,2)</f>
        <v>0</v>
      </c>
      <c r="Y67" s="214">
        <f t="shared" ref="Y67:Y75" si="118">Z67/$H67*100</f>
        <v>0</v>
      </c>
      <c r="Z67" s="98"/>
      <c r="AA67" s="98">
        <f t="shared" ref="AA67:AA75" si="119">TRUNC(Z67*$J67,2)</f>
        <v>0</v>
      </c>
      <c r="AB67" s="214">
        <f t="shared" ref="AB67:AB75" si="120">AC67/$H67*100</f>
        <v>0</v>
      </c>
      <c r="AC67" s="98"/>
      <c r="AD67" s="98">
        <f t="shared" ref="AD67:AD75" si="121">TRUNC(AC67*$J67,2)</f>
        <v>0</v>
      </c>
      <c r="AE67" s="214">
        <f t="shared" ref="AE67:AE75" si="122">AF67/$H67*100</f>
        <v>0</v>
      </c>
      <c r="AF67" s="98"/>
      <c r="AG67" s="98">
        <f t="shared" ref="AG67:AG75" si="123">TRUNC(AF67*$J67,2)</f>
        <v>0</v>
      </c>
      <c r="AH67" s="214">
        <f t="shared" ref="AH67:AH75" si="124">AI67/$H67*100</f>
        <v>0</v>
      </c>
      <c r="AI67" s="98"/>
      <c r="AJ67" s="98">
        <f t="shared" ref="AJ67:AJ75" si="125">TRUNC(AI67*$J67,2)</f>
        <v>0</v>
      </c>
      <c r="AK67" s="214">
        <f t="shared" ref="AK67:AK75" si="126">AL67/$H67*100</f>
        <v>0</v>
      </c>
      <c r="AL67" s="98"/>
      <c r="AM67" s="98">
        <f t="shared" ref="AM67:AM75" si="127">TRUNC(AL67*$J67,2)</f>
        <v>0</v>
      </c>
      <c r="AN67" s="214">
        <f t="shared" ref="AN67:AN75" si="128">AO67/$H67*100</f>
        <v>0</v>
      </c>
      <c r="AO67" s="98"/>
      <c r="AP67" s="98">
        <f t="shared" ref="AP67:AP75" si="129">TRUNC(AO67*$J67,2)</f>
        <v>0</v>
      </c>
      <c r="AQ67" s="214">
        <f t="shared" ref="AQ67:AQ75" si="130">AR67/$H67*100</f>
        <v>0</v>
      </c>
      <c r="AR67" s="98"/>
      <c r="AS67" s="98">
        <f t="shared" ref="AS67:AS75" si="131">TRUNC(AR67*$J67,2)</f>
        <v>0</v>
      </c>
      <c r="AT67" s="214">
        <f t="shared" ref="AT67:AT75" si="132">AU67/$H67*100</f>
        <v>0</v>
      </c>
      <c r="AU67" s="98"/>
      <c r="AV67" s="215">
        <f t="shared" ref="AV67:AV75" si="133">TRUNC(AU67*$J67,2)</f>
        <v>0</v>
      </c>
      <c r="AW67" s="214">
        <f t="shared" ref="AW67:AW75" si="134">AX67/$H67*100</f>
        <v>0</v>
      </c>
      <c r="AX67" s="98">
        <f t="shared" ref="AX67:AX75" si="135">Q67+N67+T67+W67+Z67+AC67+AF67+AI67+AL67+AO67+AR67+AU67</f>
        <v>0</v>
      </c>
      <c r="AY67" s="204">
        <f t="shared" ref="AY67:AY75" si="136">TRUNC(AX67*$J67,2)</f>
        <v>0</v>
      </c>
      <c r="AZ67" s="214">
        <f t="shared" ref="AZ67:AZ75" si="137">BA67/$H67*100</f>
        <v>100</v>
      </c>
      <c r="BA67" s="98">
        <f t="shared" ref="BA67:BA75" si="138">H67-AX67</f>
        <v>1456.32</v>
      </c>
      <c r="BB67" s="204">
        <f t="shared" ref="BB67:BB75" si="139">TRUNC(BA67*$J67,2)</f>
        <v>98549.17</v>
      </c>
    </row>
    <row r="68" spans="1:54" s="3" customFormat="1" ht="28.5" x14ac:dyDescent="0.2">
      <c r="A68" s="39" t="s">
        <v>269</v>
      </c>
      <c r="B68" s="37" t="s">
        <v>104</v>
      </c>
      <c r="C68" s="37" t="s">
        <v>104</v>
      </c>
      <c r="D68" s="92" t="s">
        <v>270</v>
      </c>
      <c r="E68" s="28" t="s">
        <v>98</v>
      </c>
      <c r="F68" s="341">
        <f>23.09*1.25</f>
        <v>28.862500000000001</v>
      </c>
      <c r="G68" s="49">
        <f>'Quat Const.'!F61</f>
        <v>1456.32</v>
      </c>
      <c r="H68" s="257">
        <f t="shared" ref="H68:H75" si="140">G68</f>
        <v>1456.32</v>
      </c>
      <c r="I68" s="37">
        <f t="shared" si="107"/>
        <v>0</v>
      </c>
      <c r="J68" s="37">
        <f t="shared" si="108"/>
        <v>36.31</v>
      </c>
      <c r="K68" s="288">
        <f t="shared" si="109"/>
        <v>52878.97</v>
      </c>
      <c r="L68" s="38">
        <f t="shared" si="37"/>
        <v>0</v>
      </c>
      <c r="M68" s="213">
        <f t="shared" si="110"/>
        <v>0</v>
      </c>
      <c r="N68" s="98"/>
      <c r="O68" s="98">
        <f t="shared" si="111"/>
        <v>0</v>
      </c>
      <c r="P68" s="214">
        <f t="shared" si="112"/>
        <v>0</v>
      </c>
      <c r="Q68" s="98"/>
      <c r="R68" s="98">
        <f t="shared" si="113"/>
        <v>0</v>
      </c>
      <c r="S68" s="214">
        <f t="shared" si="114"/>
        <v>0</v>
      </c>
      <c r="T68" s="98"/>
      <c r="U68" s="98">
        <f t="shared" si="115"/>
        <v>0</v>
      </c>
      <c r="V68" s="214">
        <f t="shared" si="116"/>
        <v>0</v>
      </c>
      <c r="W68" s="98"/>
      <c r="X68" s="98">
        <f t="shared" si="117"/>
        <v>0</v>
      </c>
      <c r="Y68" s="214">
        <f t="shared" si="118"/>
        <v>0</v>
      </c>
      <c r="Z68" s="98"/>
      <c r="AA68" s="98">
        <f t="shared" si="119"/>
        <v>0</v>
      </c>
      <c r="AB68" s="214">
        <f t="shared" si="120"/>
        <v>0</v>
      </c>
      <c r="AC68" s="98"/>
      <c r="AD68" s="98">
        <f t="shared" si="121"/>
        <v>0</v>
      </c>
      <c r="AE68" s="214">
        <f t="shared" si="122"/>
        <v>0</v>
      </c>
      <c r="AF68" s="98"/>
      <c r="AG68" s="98">
        <f t="shared" si="123"/>
        <v>0</v>
      </c>
      <c r="AH68" s="214">
        <f t="shared" si="124"/>
        <v>0</v>
      </c>
      <c r="AI68" s="98"/>
      <c r="AJ68" s="98">
        <f t="shared" si="125"/>
        <v>0</v>
      </c>
      <c r="AK68" s="214">
        <f t="shared" si="126"/>
        <v>0</v>
      </c>
      <c r="AL68" s="98"/>
      <c r="AM68" s="98">
        <f t="shared" si="127"/>
        <v>0</v>
      </c>
      <c r="AN68" s="214">
        <f t="shared" si="128"/>
        <v>0</v>
      </c>
      <c r="AO68" s="98"/>
      <c r="AP68" s="98">
        <f t="shared" si="129"/>
        <v>0</v>
      </c>
      <c r="AQ68" s="214">
        <f t="shared" si="130"/>
        <v>0</v>
      </c>
      <c r="AR68" s="98"/>
      <c r="AS68" s="98">
        <f t="shared" si="131"/>
        <v>0</v>
      </c>
      <c r="AT68" s="214">
        <f t="shared" si="132"/>
        <v>0</v>
      </c>
      <c r="AU68" s="98"/>
      <c r="AV68" s="215">
        <f t="shared" si="133"/>
        <v>0</v>
      </c>
      <c r="AW68" s="214">
        <f t="shared" si="134"/>
        <v>0</v>
      </c>
      <c r="AX68" s="98">
        <f t="shared" si="135"/>
        <v>0</v>
      </c>
      <c r="AY68" s="204">
        <f t="shared" si="136"/>
        <v>0</v>
      </c>
      <c r="AZ68" s="214">
        <f t="shared" si="137"/>
        <v>100</v>
      </c>
      <c r="BA68" s="98">
        <f t="shared" si="138"/>
        <v>1456.32</v>
      </c>
      <c r="BB68" s="204">
        <f t="shared" si="139"/>
        <v>52878.97</v>
      </c>
    </row>
    <row r="69" spans="1:54" s="3" customFormat="1" ht="28.5" x14ac:dyDescent="0.2">
      <c r="A69" s="39" t="s">
        <v>271</v>
      </c>
      <c r="B69" s="338" t="s">
        <v>272</v>
      </c>
      <c r="C69" s="28" t="s">
        <v>273</v>
      </c>
      <c r="D69" s="50" t="s">
        <v>274</v>
      </c>
      <c r="E69" s="28" t="s">
        <v>275</v>
      </c>
      <c r="F69" s="329">
        <v>10.18</v>
      </c>
      <c r="G69" s="49">
        <f>'Quat Const.'!F62</f>
        <v>147.85</v>
      </c>
      <c r="H69" s="257">
        <f t="shared" si="140"/>
        <v>147.85</v>
      </c>
      <c r="I69" s="37">
        <f t="shared" si="107"/>
        <v>0</v>
      </c>
      <c r="J69" s="37">
        <f t="shared" si="108"/>
        <v>12.81</v>
      </c>
      <c r="K69" s="288">
        <f t="shared" si="109"/>
        <v>1893.95</v>
      </c>
      <c r="L69" s="38">
        <f t="shared" si="37"/>
        <v>0</v>
      </c>
      <c r="M69" s="213">
        <f t="shared" si="110"/>
        <v>0</v>
      </c>
      <c r="N69" s="98"/>
      <c r="O69" s="98">
        <f t="shared" si="111"/>
        <v>0</v>
      </c>
      <c r="P69" s="214">
        <f t="shared" si="112"/>
        <v>0</v>
      </c>
      <c r="Q69" s="98"/>
      <c r="R69" s="98">
        <f t="shared" si="113"/>
        <v>0</v>
      </c>
      <c r="S69" s="214">
        <f t="shared" si="114"/>
        <v>0</v>
      </c>
      <c r="T69" s="98"/>
      <c r="U69" s="98">
        <f t="shared" si="115"/>
        <v>0</v>
      </c>
      <c r="V69" s="214">
        <f t="shared" si="116"/>
        <v>0</v>
      </c>
      <c r="W69" s="98"/>
      <c r="X69" s="98">
        <f t="shared" si="117"/>
        <v>0</v>
      </c>
      <c r="Y69" s="214">
        <f t="shared" si="118"/>
        <v>0</v>
      </c>
      <c r="Z69" s="98"/>
      <c r="AA69" s="98">
        <f t="shared" si="119"/>
        <v>0</v>
      </c>
      <c r="AB69" s="214">
        <f t="shared" si="120"/>
        <v>0</v>
      </c>
      <c r="AC69" s="98"/>
      <c r="AD69" s="98">
        <f t="shared" si="121"/>
        <v>0</v>
      </c>
      <c r="AE69" s="214">
        <f t="shared" si="122"/>
        <v>0</v>
      </c>
      <c r="AF69" s="98"/>
      <c r="AG69" s="98">
        <f t="shared" si="123"/>
        <v>0</v>
      </c>
      <c r="AH69" s="214">
        <f t="shared" si="124"/>
        <v>0</v>
      </c>
      <c r="AI69" s="98"/>
      <c r="AJ69" s="98">
        <f t="shared" si="125"/>
        <v>0</v>
      </c>
      <c r="AK69" s="214">
        <f t="shared" si="126"/>
        <v>0</v>
      </c>
      <c r="AL69" s="98"/>
      <c r="AM69" s="98">
        <f t="shared" si="127"/>
        <v>0</v>
      </c>
      <c r="AN69" s="214">
        <f t="shared" si="128"/>
        <v>0</v>
      </c>
      <c r="AO69" s="98"/>
      <c r="AP69" s="98">
        <f t="shared" si="129"/>
        <v>0</v>
      </c>
      <c r="AQ69" s="214">
        <f t="shared" si="130"/>
        <v>0</v>
      </c>
      <c r="AR69" s="98"/>
      <c r="AS69" s="98">
        <f t="shared" si="131"/>
        <v>0</v>
      </c>
      <c r="AT69" s="214">
        <f t="shared" si="132"/>
        <v>0</v>
      </c>
      <c r="AU69" s="98"/>
      <c r="AV69" s="215">
        <f t="shared" si="133"/>
        <v>0</v>
      </c>
      <c r="AW69" s="214">
        <f t="shared" si="134"/>
        <v>0</v>
      </c>
      <c r="AX69" s="98">
        <f t="shared" si="135"/>
        <v>0</v>
      </c>
      <c r="AY69" s="204">
        <f t="shared" si="136"/>
        <v>0</v>
      </c>
      <c r="AZ69" s="214">
        <f t="shared" si="137"/>
        <v>100</v>
      </c>
      <c r="BA69" s="98">
        <f t="shared" si="138"/>
        <v>147.85</v>
      </c>
      <c r="BB69" s="204">
        <f t="shared" si="139"/>
        <v>1893.95</v>
      </c>
    </row>
    <row r="70" spans="1:54" s="3" customFormat="1" ht="15" x14ac:dyDescent="0.2">
      <c r="A70" s="39" t="s">
        <v>276</v>
      </c>
      <c r="B70" s="338" t="s">
        <v>277</v>
      </c>
      <c r="C70" s="28" t="s">
        <v>278</v>
      </c>
      <c r="D70" s="58" t="s">
        <v>279</v>
      </c>
      <c r="E70" s="28" t="s">
        <v>275</v>
      </c>
      <c r="F70" s="329">
        <v>19.47</v>
      </c>
      <c r="G70" s="49">
        <f>'Quat Const.'!F63</f>
        <v>10.8</v>
      </c>
      <c r="H70" s="257">
        <f t="shared" si="140"/>
        <v>10.8</v>
      </c>
      <c r="I70" s="37">
        <f t="shared" si="107"/>
        <v>0</v>
      </c>
      <c r="J70" s="37">
        <f t="shared" si="108"/>
        <v>24.5</v>
      </c>
      <c r="K70" s="288">
        <f t="shared" si="109"/>
        <v>264.60000000000002</v>
      </c>
      <c r="L70" s="38">
        <f t="shared" si="37"/>
        <v>0</v>
      </c>
      <c r="M70" s="213">
        <f t="shared" si="110"/>
        <v>0</v>
      </c>
      <c r="N70" s="98"/>
      <c r="O70" s="98">
        <f t="shared" si="111"/>
        <v>0</v>
      </c>
      <c r="P70" s="214">
        <f t="shared" si="112"/>
        <v>0</v>
      </c>
      <c r="Q70" s="98"/>
      <c r="R70" s="98">
        <f t="shared" si="113"/>
        <v>0</v>
      </c>
      <c r="S70" s="214">
        <f t="shared" si="114"/>
        <v>0</v>
      </c>
      <c r="T70" s="98"/>
      <c r="U70" s="98">
        <f t="shared" si="115"/>
        <v>0</v>
      </c>
      <c r="V70" s="214">
        <f t="shared" si="116"/>
        <v>0</v>
      </c>
      <c r="W70" s="98"/>
      <c r="X70" s="98">
        <f t="shared" si="117"/>
        <v>0</v>
      </c>
      <c r="Y70" s="214">
        <f t="shared" si="118"/>
        <v>0</v>
      </c>
      <c r="Z70" s="98"/>
      <c r="AA70" s="98">
        <f t="shared" si="119"/>
        <v>0</v>
      </c>
      <c r="AB70" s="214">
        <f t="shared" si="120"/>
        <v>0</v>
      </c>
      <c r="AC70" s="98"/>
      <c r="AD70" s="98">
        <f t="shared" si="121"/>
        <v>0</v>
      </c>
      <c r="AE70" s="214">
        <f t="shared" si="122"/>
        <v>0</v>
      </c>
      <c r="AF70" s="98"/>
      <c r="AG70" s="98">
        <f t="shared" si="123"/>
        <v>0</v>
      </c>
      <c r="AH70" s="214">
        <f t="shared" si="124"/>
        <v>0</v>
      </c>
      <c r="AI70" s="98"/>
      <c r="AJ70" s="98">
        <f t="shared" si="125"/>
        <v>0</v>
      </c>
      <c r="AK70" s="214">
        <f t="shared" si="126"/>
        <v>0</v>
      </c>
      <c r="AL70" s="98"/>
      <c r="AM70" s="98">
        <f t="shared" si="127"/>
        <v>0</v>
      </c>
      <c r="AN70" s="214">
        <f t="shared" si="128"/>
        <v>0</v>
      </c>
      <c r="AO70" s="98"/>
      <c r="AP70" s="98">
        <f t="shared" si="129"/>
        <v>0</v>
      </c>
      <c r="AQ70" s="214">
        <f t="shared" si="130"/>
        <v>0</v>
      </c>
      <c r="AR70" s="98"/>
      <c r="AS70" s="98">
        <f t="shared" si="131"/>
        <v>0</v>
      </c>
      <c r="AT70" s="214">
        <f t="shared" si="132"/>
        <v>0</v>
      </c>
      <c r="AU70" s="98"/>
      <c r="AV70" s="215">
        <f t="shared" si="133"/>
        <v>0</v>
      </c>
      <c r="AW70" s="214">
        <f t="shared" si="134"/>
        <v>0</v>
      </c>
      <c r="AX70" s="98">
        <f t="shared" si="135"/>
        <v>0</v>
      </c>
      <c r="AY70" s="204">
        <f t="shared" si="136"/>
        <v>0</v>
      </c>
      <c r="AZ70" s="214">
        <f t="shared" si="137"/>
        <v>100</v>
      </c>
      <c r="BA70" s="98">
        <f t="shared" si="138"/>
        <v>10.8</v>
      </c>
      <c r="BB70" s="204">
        <f t="shared" si="139"/>
        <v>264.60000000000002</v>
      </c>
    </row>
    <row r="71" spans="1:54" s="3" customFormat="1" ht="15" x14ac:dyDescent="0.2">
      <c r="A71" s="39" t="s">
        <v>280</v>
      </c>
      <c r="B71" s="338" t="s">
        <v>281</v>
      </c>
      <c r="C71" s="28" t="s">
        <v>282</v>
      </c>
      <c r="D71" s="58" t="s">
        <v>283</v>
      </c>
      <c r="E71" s="28" t="s">
        <v>275</v>
      </c>
      <c r="F71" s="329">
        <v>29.48</v>
      </c>
      <c r="G71" s="49">
        <f>'Quat Const.'!F64</f>
        <v>10.8</v>
      </c>
      <c r="H71" s="257">
        <f t="shared" si="140"/>
        <v>10.8</v>
      </c>
      <c r="I71" s="37">
        <f>H71-G71</f>
        <v>0</v>
      </c>
      <c r="J71" s="37">
        <f>ROUND((F71*(1+$K$8))*(1+$G$8),2)</f>
        <v>37.090000000000003</v>
      </c>
      <c r="K71" s="288">
        <f>TRUNC(J71*G71,2)</f>
        <v>400.57</v>
      </c>
      <c r="L71" s="38">
        <f>TRUNC(J71*I71,2)</f>
        <v>0</v>
      </c>
      <c r="M71" s="213">
        <f>N71/$H71*100</f>
        <v>0</v>
      </c>
      <c r="N71" s="98"/>
      <c r="O71" s="98">
        <f t="shared" si="111"/>
        <v>0</v>
      </c>
      <c r="P71" s="214">
        <f>Q71/$H71*100</f>
        <v>0</v>
      </c>
      <c r="Q71" s="98"/>
      <c r="R71" s="98">
        <f t="shared" si="113"/>
        <v>0</v>
      </c>
      <c r="S71" s="214">
        <f>T71/$H71*100</f>
        <v>0</v>
      </c>
      <c r="T71" s="98"/>
      <c r="U71" s="98">
        <f t="shared" si="115"/>
        <v>0</v>
      </c>
      <c r="V71" s="214">
        <f>W71/$H71*100</f>
        <v>0</v>
      </c>
      <c r="W71" s="98"/>
      <c r="X71" s="98">
        <f t="shared" si="117"/>
        <v>0</v>
      </c>
      <c r="Y71" s="214">
        <f>Z71/$H71*100</f>
        <v>0</v>
      </c>
      <c r="Z71" s="98"/>
      <c r="AA71" s="98">
        <f t="shared" si="119"/>
        <v>0</v>
      </c>
      <c r="AB71" s="214">
        <f>AC71/$H71*100</f>
        <v>0</v>
      </c>
      <c r="AC71" s="98"/>
      <c r="AD71" s="98">
        <f t="shared" si="121"/>
        <v>0</v>
      </c>
      <c r="AE71" s="214">
        <f>AF71/$H71*100</f>
        <v>0</v>
      </c>
      <c r="AF71" s="98"/>
      <c r="AG71" s="98">
        <f t="shared" si="123"/>
        <v>0</v>
      </c>
      <c r="AH71" s="214">
        <f>AI71/$H71*100</f>
        <v>0</v>
      </c>
      <c r="AI71" s="98"/>
      <c r="AJ71" s="98">
        <f t="shared" si="125"/>
        <v>0</v>
      </c>
      <c r="AK71" s="214">
        <f>AL71/$H71*100</f>
        <v>0</v>
      </c>
      <c r="AL71" s="98"/>
      <c r="AM71" s="98">
        <f t="shared" si="127"/>
        <v>0</v>
      </c>
      <c r="AN71" s="214">
        <f>AO71/$H71*100</f>
        <v>0</v>
      </c>
      <c r="AO71" s="98"/>
      <c r="AP71" s="98">
        <f t="shared" si="129"/>
        <v>0</v>
      </c>
      <c r="AQ71" s="214">
        <f>AR71/$H71*100</f>
        <v>0</v>
      </c>
      <c r="AR71" s="98"/>
      <c r="AS71" s="98">
        <f t="shared" si="131"/>
        <v>0</v>
      </c>
      <c r="AT71" s="214">
        <f>AU71/$H71*100</f>
        <v>0</v>
      </c>
      <c r="AU71" s="98"/>
      <c r="AV71" s="215">
        <f t="shared" si="133"/>
        <v>0</v>
      </c>
      <c r="AW71" s="214">
        <f>AX71/$H71*100</f>
        <v>0</v>
      </c>
      <c r="AX71" s="98">
        <f>Q71+N71+T71+W71+Z71+AC71+AF71+AI71+AL71+AO71+AR71+AU71</f>
        <v>0</v>
      </c>
      <c r="AY71" s="204">
        <f t="shared" si="136"/>
        <v>0</v>
      </c>
      <c r="AZ71" s="214">
        <f>BA71/$H71*100</f>
        <v>100</v>
      </c>
      <c r="BA71" s="98">
        <f>H71-AX71</f>
        <v>10.8</v>
      </c>
      <c r="BB71" s="204">
        <f t="shared" si="139"/>
        <v>400.57</v>
      </c>
    </row>
    <row r="72" spans="1:54" s="3" customFormat="1" ht="28.5" x14ac:dyDescent="0.2">
      <c r="A72" s="39" t="s">
        <v>284</v>
      </c>
      <c r="B72" s="37" t="s">
        <v>104</v>
      </c>
      <c r="C72" s="37" t="s">
        <v>104</v>
      </c>
      <c r="D72" s="92" t="s">
        <v>285</v>
      </c>
      <c r="E72" s="28" t="s">
        <v>98</v>
      </c>
      <c r="F72" s="341">
        <f>1.86*1.25</f>
        <v>2.3250000000000002</v>
      </c>
      <c r="G72" s="49">
        <f>'Quat Const.'!F65</f>
        <v>1456.32</v>
      </c>
      <c r="H72" s="257">
        <f t="shared" si="140"/>
        <v>1456.32</v>
      </c>
      <c r="I72" s="37">
        <f t="shared" si="107"/>
        <v>0</v>
      </c>
      <c r="J72" s="37">
        <f t="shared" si="108"/>
        <v>2.93</v>
      </c>
      <c r="K72" s="288">
        <f t="shared" si="109"/>
        <v>4267.01</v>
      </c>
      <c r="L72" s="38">
        <f t="shared" si="37"/>
        <v>0</v>
      </c>
      <c r="M72" s="213">
        <f t="shared" si="110"/>
        <v>0</v>
      </c>
      <c r="N72" s="98"/>
      <c r="O72" s="98">
        <f t="shared" si="111"/>
        <v>0</v>
      </c>
      <c r="P72" s="214">
        <f t="shared" si="112"/>
        <v>0</v>
      </c>
      <c r="Q72" s="98"/>
      <c r="R72" s="98">
        <f t="shared" si="113"/>
        <v>0</v>
      </c>
      <c r="S72" s="214">
        <f t="shared" si="114"/>
        <v>0</v>
      </c>
      <c r="T72" s="98"/>
      <c r="U72" s="98">
        <f t="shared" si="115"/>
        <v>0</v>
      </c>
      <c r="V72" s="214">
        <f t="shared" si="116"/>
        <v>0</v>
      </c>
      <c r="W72" s="98"/>
      <c r="X72" s="98">
        <f t="shared" si="117"/>
        <v>0</v>
      </c>
      <c r="Y72" s="214">
        <f t="shared" si="118"/>
        <v>0</v>
      </c>
      <c r="Z72" s="98"/>
      <c r="AA72" s="98">
        <f t="shared" si="119"/>
        <v>0</v>
      </c>
      <c r="AB72" s="214">
        <f t="shared" si="120"/>
        <v>0</v>
      </c>
      <c r="AC72" s="98"/>
      <c r="AD72" s="98">
        <f t="shared" si="121"/>
        <v>0</v>
      </c>
      <c r="AE72" s="214">
        <f t="shared" si="122"/>
        <v>0</v>
      </c>
      <c r="AF72" s="98"/>
      <c r="AG72" s="98">
        <f t="shared" si="123"/>
        <v>0</v>
      </c>
      <c r="AH72" s="214">
        <f t="shared" si="124"/>
        <v>0</v>
      </c>
      <c r="AI72" s="98"/>
      <c r="AJ72" s="98">
        <f t="shared" si="125"/>
        <v>0</v>
      </c>
      <c r="AK72" s="214">
        <f t="shared" si="126"/>
        <v>0</v>
      </c>
      <c r="AL72" s="98"/>
      <c r="AM72" s="98">
        <f t="shared" si="127"/>
        <v>0</v>
      </c>
      <c r="AN72" s="214">
        <f t="shared" si="128"/>
        <v>0</v>
      </c>
      <c r="AO72" s="98"/>
      <c r="AP72" s="98">
        <f t="shared" si="129"/>
        <v>0</v>
      </c>
      <c r="AQ72" s="214">
        <f t="shared" si="130"/>
        <v>0</v>
      </c>
      <c r="AR72" s="98"/>
      <c r="AS72" s="98">
        <f t="shared" si="131"/>
        <v>0</v>
      </c>
      <c r="AT72" s="214">
        <f t="shared" si="132"/>
        <v>0</v>
      </c>
      <c r="AU72" s="98"/>
      <c r="AV72" s="215">
        <f t="shared" si="133"/>
        <v>0</v>
      </c>
      <c r="AW72" s="214">
        <f t="shared" si="134"/>
        <v>0</v>
      </c>
      <c r="AX72" s="98">
        <f t="shared" si="135"/>
        <v>0</v>
      </c>
      <c r="AY72" s="204">
        <f t="shared" si="136"/>
        <v>0</v>
      </c>
      <c r="AZ72" s="214">
        <f t="shared" si="137"/>
        <v>100</v>
      </c>
      <c r="BA72" s="98">
        <f t="shared" si="138"/>
        <v>1456.32</v>
      </c>
      <c r="BB72" s="204">
        <f t="shared" si="139"/>
        <v>4267.01</v>
      </c>
    </row>
    <row r="73" spans="1:54" s="3" customFormat="1" ht="28.5" x14ac:dyDescent="0.2">
      <c r="A73" s="39" t="s">
        <v>286</v>
      </c>
      <c r="B73" s="37" t="s">
        <v>104</v>
      </c>
      <c r="C73" s="37" t="s">
        <v>104</v>
      </c>
      <c r="D73" s="92" t="s">
        <v>287</v>
      </c>
      <c r="E73" s="28" t="s">
        <v>275</v>
      </c>
      <c r="F73" s="341">
        <f>11.61*1.25</f>
        <v>14.512499999999999</v>
      </c>
      <c r="G73" s="49">
        <f>'Quat Const.'!F66</f>
        <v>343.91</v>
      </c>
      <c r="H73" s="257">
        <f t="shared" si="140"/>
        <v>343.91</v>
      </c>
      <c r="I73" s="37">
        <f t="shared" si="107"/>
        <v>0</v>
      </c>
      <c r="J73" s="37">
        <f t="shared" si="108"/>
        <v>18.260000000000002</v>
      </c>
      <c r="K73" s="288">
        <f t="shared" si="109"/>
        <v>6279.79</v>
      </c>
      <c r="L73" s="38">
        <f t="shared" si="37"/>
        <v>0</v>
      </c>
      <c r="M73" s="213">
        <f>N73/$H73*100</f>
        <v>0</v>
      </c>
      <c r="N73" s="98"/>
      <c r="O73" s="98">
        <f t="shared" si="111"/>
        <v>0</v>
      </c>
      <c r="P73" s="214">
        <f t="shared" si="112"/>
        <v>0</v>
      </c>
      <c r="Q73" s="98"/>
      <c r="R73" s="98">
        <f t="shared" si="113"/>
        <v>0</v>
      </c>
      <c r="S73" s="214">
        <f t="shared" si="114"/>
        <v>0</v>
      </c>
      <c r="T73" s="98"/>
      <c r="U73" s="98">
        <f t="shared" si="115"/>
        <v>0</v>
      </c>
      <c r="V73" s="214">
        <f t="shared" si="116"/>
        <v>0</v>
      </c>
      <c r="W73" s="98"/>
      <c r="X73" s="98">
        <f t="shared" si="117"/>
        <v>0</v>
      </c>
      <c r="Y73" s="214">
        <f t="shared" si="118"/>
        <v>0</v>
      </c>
      <c r="Z73" s="98"/>
      <c r="AA73" s="98">
        <f t="shared" si="119"/>
        <v>0</v>
      </c>
      <c r="AB73" s="214">
        <f t="shared" si="120"/>
        <v>0</v>
      </c>
      <c r="AC73" s="98"/>
      <c r="AD73" s="98">
        <f t="shared" si="121"/>
        <v>0</v>
      </c>
      <c r="AE73" s="214">
        <f t="shared" si="122"/>
        <v>0</v>
      </c>
      <c r="AF73" s="98"/>
      <c r="AG73" s="98">
        <f t="shared" si="123"/>
        <v>0</v>
      </c>
      <c r="AH73" s="214">
        <f t="shared" si="124"/>
        <v>0</v>
      </c>
      <c r="AI73" s="98"/>
      <c r="AJ73" s="98">
        <f t="shared" si="125"/>
        <v>0</v>
      </c>
      <c r="AK73" s="214">
        <f t="shared" si="126"/>
        <v>0</v>
      </c>
      <c r="AL73" s="98"/>
      <c r="AM73" s="98">
        <f t="shared" si="127"/>
        <v>0</v>
      </c>
      <c r="AN73" s="214">
        <f t="shared" si="128"/>
        <v>0</v>
      </c>
      <c r="AO73" s="98"/>
      <c r="AP73" s="98">
        <f t="shared" si="129"/>
        <v>0</v>
      </c>
      <c r="AQ73" s="214">
        <f t="shared" si="130"/>
        <v>0</v>
      </c>
      <c r="AR73" s="98"/>
      <c r="AS73" s="98">
        <f t="shared" si="131"/>
        <v>0</v>
      </c>
      <c r="AT73" s="214">
        <f t="shared" si="132"/>
        <v>0</v>
      </c>
      <c r="AU73" s="98"/>
      <c r="AV73" s="215">
        <f t="shared" si="133"/>
        <v>0</v>
      </c>
      <c r="AW73" s="214">
        <f>AX73/$H73*100</f>
        <v>0</v>
      </c>
      <c r="AX73" s="98">
        <f t="shared" si="135"/>
        <v>0</v>
      </c>
      <c r="AY73" s="204">
        <f t="shared" si="136"/>
        <v>0</v>
      </c>
      <c r="AZ73" s="214">
        <f>BA73/$H73*100</f>
        <v>100</v>
      </c>
      <c r="BA73" s="98">
        <f t="shared" si="138"/>
        <v>343.91</v>
      </c>
      <c r="BB73" s="204">
        <f t="shared" si="139"/>
        <v>6279.79</v>
      </c>
    </row>
    <row r="74" spans="1:54" s="3" customFormat="1" ht="15" x14ac:dyDescent="0.2">
      <c r="A74" s="39" t="s">
        <v>288</v>
      </c>
      <c r="B74" s="338" t="s">
        <v>289</v>
      </c>
      <c r="C74" s="28" t="s">
        <v>290</v>
      </c>
      <c r="D74" s="58" t="s">
        <v>291</v>
      </c>
      <c r="E74" s="28" t="s">
        <v>110</v>
      </c>
      <c r="F74" s="329">
        <v>12.44</v>
      </c>
      <c r="G74" s="49">
        <f>'Quat Const.'!F67</f>
        <v>33</v>
      </c>
      <c r="H74" s="257">
        <f t="shared" si="140"/>
        <v>33</v>
      </c>
      <c r="I74" s="37">
        <f t="shared" si="107"/>
        <v>0</v>
      </c>
      <c r="J74" s="37">
        <f t="shared" si="108"/>
        <v>15.65</v>
      </c>
      <c r="K74" s="288">
        <f t="shared" si="109"/>
        <v>516.45000000000005</v>
      </c>
      <c r="L74" s="38">
        <f t="shared" si="37"/>
        <v>0</v>
      </c>
      <c r="M74" s="213">
        <f>N74/$H74*100</f>
        <v>0</v>
      </c>
      <c r="N74" s="98"/>
      <c r="O74" s="98">
        <f t="shared" si="111"/>
        <v>0</v>
      </c>
      <c r="P74" s="214">
        <f t="shared" si="112"/>
        <v>0</v>
      </c>
      <c r="Q74" s="98"/>
      <c r="R74" s="98">
        <f t="shared" si="113"/>
        <v>0</v>
      </c>
      <c r="S74" s="214">
        <f t="shared" si="114"/>
        <v>0</v>
      </c>
      <c r="T74" s="98"/>
      <c r="U74" s="98">
        <f t="shared" si="115"/>
        <v>0</v>
      </c>
      <c r="V74" s="214">
        <f t="shared" si="116"/>
        <v>0</v>
      </c>
      <c r="W74" s="98"/>
      <c r="X74" s="98">
        <f t="shared" si="117"/>
        <v>0</v>
      </c>
      <c r="Y74" s="214">
        <f t="shared" si="118"/>
        <v>0</v>
      </c>
      <c r="Z74" s="98"/>
      <c r="AA74" s="98">
        <f t="shared" si="119"/>
        <v>0</v>
      </c>
      <c r="AB74" s="214">
        <f t="shared" si="120"/>
        <v>0</v>
      </c>
      <c r="AC74" s="98"/>
      <c r="AD74" s="98">
        <f t="shared" si="121"/>
        <v>0</v>
      </c>
      <c r="AE74" s="214">
        <f t="shared" si="122"/>
        <v>0</v>
      </c>
      <c r="AF74" s="98"/>
      <c r="AG74" s="98">
        <f t="shared" si="123"/>
        <v>0</v>
      </c>
      <c r="AH74" s="214">
        <f t="shared" si="124"/>
        <v>0</v>
      </c>
      <c r="AI74" s="98"/>
      <c r="AJ74" s="98">
        <f t="shared" si="125"/>
        <v>0</v>
      </c>
      <c r="AK74" s="214">
        <f t="shared" si="126"/>
        <v>0</v>
      </c>
      <c r="AL74" s="98"/>
      <c r="AM74" s="98">
        <f t="shared" si="127"/>
        <v>0</v>
      </c>
      <c r="AN74" s="214">
        <f t="shared" si="128"/>
        <v>0</v>
      </c>
      <c r="AO74" s="98"/>
      <c r="AP74" s="98">
        <f t="shared" si="129"/>
        <v>0</v>
      </c>
      <c r="AQ74" s="214">
        <f t="shared" si="130"/>
        <v>0</v>
      </c>
      <c r="AR74" s="98"/>
      <c r="AS74" s="98">
        <f t="shared" si="131"/>
        <v>0</v>
      </c>
      <c r="AT74" s="214">
        <f t="shared" si="132"/>
        <v>0</v>
      </c>
      <c r="AU74" s="98"/>
      <c r="AV74" s="215">
        <f t="shared" si="133"/>
        <v>0</v>
      </c>
      <c r="AW74" s="214">
        <f>AX74/$H74*100</f>
        <v>0</v>
      </c>
      <c r="AX74" s="98">
        <f t="shared" si="135"/>
        <v>0</v>
      </c>
      <c r="AY74" s="204">
        <f t="shared" si="136"/>
        <v>0</v>
      </c>
      <c r="AZ74" s="214">
        <f>BA74/$H74*100</f>
        <v>100</v>
      </c>
      <c r="BA74" s="98">
        <f t="shared" si="138"/>
        <v>33</v>
      </c>
      <c r="BB74" s="204">
        <f t="shared" si="139"/>
        <v>516.45000000000005</v>
      </c>
    </row>
    <row r="75" spans="1:54" s="3" customFormat="1" ht="15" x14ac:dyDescent="0.2">
      <c r="A75" s="39" t="s">
        <v>292</v>
      </c>
      <c r="B75" s="338" t="s">
        <v>293</v>
      </c>
      <c r="C75" s="28" t="s">
        <v>294</v>
      </c>
      <c r="D75" s="58" t="s">
        <v>295</v>
      </c>
      <c r="E75" s="28" t="s">
        <v>275</v>
      </c>
      <c r="F75" s="329">
        <v>14.63</v>
      </c>
      <c r="G75" s="49">
        <f>'Quat Const.'!F68</f>
        <v>38.5</v>
      </c>
      <c r="H75" s="257">
        <f t="shared" si="140"/>
        <v>38.5</v>
      </c>
      <c r="I75" s="37">
        <f t="shared" si="107"/>
        <v>0</v>
      </c>
      <c r="J75" s="37">
        <f t="shared" si="108"/>
        <v>18.41</v>
      </c>
      <c r="K75" s="288">
        <f t="shared" si="109"/>
        <v>708.78</v>
      </c>
      <c r="L75" s="38">
        <f t="shared" si="37"/>
        <v>0</v>
      </c>
      <c r="M75" s="213">
        <f t="shared" si="110"/>
        <v>0</v>
      </c>
      <c r="N75" s="98"/>
      <c r="O75" s="98">
        <f t="shared" si="111"/>
        <v>0</v>
      </c>
      <c r="P75" s="214">
        <f t="shared" si="112"/>
        <v>0</v>
      </c>
      <c r="Q75" s="98"/>
      <c r="R75" s="98">
        <f t="shared" si="113"/>
        <v>0</v>
      </c>
      <c r="S75" s="214">
        <f t="shared" si="114"/>
        <v>0</v>
      </c>
      <c r="T75" s="98"/>
      <c r="U75" s="98">
        <f t="shared" si="115"/>
        <v>0</v>
      </c>
      <c r="V75" s="214">
        <f t="shared" si="116"/>
        <v>0</v>
      </c>
      <c r="W75" s="98"/>
      <c r="X75" s="98">
        <f t="shared" si="117"/>
        <v>0</v>
      </c>
      <c r="Y75" s="214">
        <f t="shared" si="118"/>
        <v>0</v>
      </c>
      <c r="Z75" s="98"/>
      <c r="AA75" s="98">
        <f t="shared" si="119"/>
        <v>0</v>
      </c>
      <c r="AB75" s="214">
        <f t="shared" si="120"/>
        <v>0</v>
      </c>
      <c r="AC75" s="98"/>
      <c r="AD75" s="98">
        <f t="shared" si="121"/>
        <v>0</v>
      </c>
      <c r="AE75" s="214">
        <f t="shared" si="122"/>
        <v>0</v>
      </c>
      <c r="AF75" s="98"/>
      <c r="AG75" s="98">
        <f t="shared" si="123"/>
        <v>0</v>
      </c>
      <c r="AH75" s="214">
        <f t="shared" si="124"/>
        <v>0</v>
      </c>
      <c r="AI75" s="98"/>
      <c r="AJ75" s="98">
        <f t="shared" si="125"/>
        <v>0</v>
      </c>
      <c r="AK75" s="214">
        <f t="shared" si="126"/>
        <v>0</v>
      </c>
      <c r="AL75" s="98"/>
      <c r="AM75" s="98">
        <f t="shared" si="127"/>
        <v>0</v>
      </c>
      <c r="AN75" s="214">
        <f t="shared" si="128"/>
        <v>0</v>
      </c>
      <c r="AO75" s="98"/>
      <c r="AP75" s="98">
        <f t="shared" si="129"/>
        <v>0</v>
      </c>
      <c r="AQ75" s="214">
        <f t="shared" si="130"/>
        <v>0</v>
      </c>
      <c r="AR75" s="98"/>
      <c r="AS75" s="98">
        <f t="shared" si="131"/>
        <v>0</v>
      </c>
      <c r="AT75" s="214">
        <f t="shared" si="132"/>
        <v>0</v>
      </c>
      <c r="AU75" s="98"/>
      <c r="AV75" s="215">
        <f t="shared" si="133"/>
        <v>0</v>
      </c>
      <c r="AW75" s="214">
        <f t="shared" si="134"/>
        <v>0</v>
      </c>
      <c r="AX75" s="98">
        <f t="shared" si="135"/>
        <v>0</v>
      </c>
      <c r="AY75" s="204">
        <f t="shared" si="136"/>
        <v>0</v>
      </c>
      <c r="AZ75" s="214">
        <f t="shared" si="137"/>
        <v>100</v>
      </c>
      <c r="BA75" s="98">
        <f t="shared" si="138"/>
        <v>38.5</v>
      </c>
      <c r="BB75" s="204">
        <f t="shared" si="139"/>
        <v>708.78</v>
      </c>
    </row>
    <row r="76" spans="1:54" s="3" customFormat="1" ht="15" customHeight="1" x14ac:dyDescent="0.2">
      <c r="A76" s="39"/>
      <c r="B76" s="45"/>
      <c r="C76" s="45"/>
      <c r="D76" s="41"/>
      <c r="E76" s="42"/>
      <c r="F76" s="37"/>
      <c r="G76" s="37"/>
      <c r="H76" s="642" t="s">
        <v>125</v>
      </c>
      <c r="I76" s="642"/>
      <c r="J76" s="642"/>
      <c r="K76" s="172">
        <f>SUM(K67:K75)</f>
        <v>165759.29000000007</v>
      </c>
      <c r="L76" s="43">
        <f>SUM(L67:L75)</f>
        <v>0</v>
      </c>
      <c r="M76" s="648" t="s">
        <v>125</v>
      </c>
      <c r="N76" s="642"/>
      <c r="O76" s="172">
        <f>SUM(O67:O75)</f>
        <v>0</v>
      </c>
      <c r="P76" s="641" t="s">
        <v>125</v>
      </c>
      <c r="Q76" s="642"/>
      <c r="R76" s="172">
        <f>SUM(R67:R75)</f>
        <v>0</v>
      </c>
      <c r="S76" s="641" t="s">
        <v>125</v>
      </c>
      <c r="T76" s="642"/>
      <c r="U76" s="172">
        <f>SUM(U67:U75)</f>
        <v>0</v>
      </c>
      <c r="V76" s="641" t="s">
        <v>125</v>
      </c>
      <c r="W76" s="642"/>
      <c r="X76" s="172">
        <f>SUM(X67:X75)</f>
        <v>0</v>
      </c>
      <c r="Y76" s="641" t="s">
        <v>125</v>
      </c>
      <c r="Z76" s="642"/>
      <c r="AA76" s="172">
        <f>SUM(AA67:AA75)</f>
        <v>0</v>
      </c>
      <c r="AB76" s="641" t="s">
        <v>125</v>
      </c>
      <c r="AC76" s="642"/>
      <c r="AD76" s="172">
        <f>SUM(AD67:AD75)</f>
        <v>0</v>
      </c>
      <c r="AE76" s="641" t="s">
        <v>125</v>
      </c>
      <c r="AF76" s="642"/>
      <c r="AG76" s="172">
        <f>SUM(AG67:AG75)</f>
        <v>0</v>
      </c>
      <c r="AH76" s="641" t="s">
        <v>125</v>
      </c>
      <c r="AI76" s="642"/>
      <c r="AJ76" s="172">
        <f>SUM(AJ67:AJ75)</f>
        <v>0</v>
      </c>
      <c r="AK76" s="641" t="s">
        <v>125</v>
      </c>
      <c r="AL76" s="642"/>
      <c r="AM76" s="172">
        <f>SUM(AM67:AM75)</f>
        <v>0</v>
      </c>
      <c r="AN76" s="641" t="s">
        <v>125</v>
      </c>
      <c r="AO76" s="642"/>
      <c r="AP76" s="172">
        <f>SUM(AP67:AP75)</f>
        <v>0</v>
      </c>
      <c r="AQ76" s="641" t="s">
        <v>125</v>
      </c>
      <c r="AR76" s="642"/>
      <c r="AS76" s="172">
        <f>SUM(AS67:AS75)</f>
        <v>0</v>
      </c>
      <c r="AT76" s="641" t="s">
        <v>125</v>
      </c>
      <c r="AU76" s="642"/>
      <c r="AV76" s="173">
        <f>SUM(AV67:AV75)</f>
        <v>0</v>
      </c>
      <c r="AW76" s="641" t="s">
        <v>125</v>
      </c>
      <c r="AX76" s="642"/>
      <c r="AY76" s="43">
        <f>SUM(AY67:AY75)</f>
        <v>0</v>
      </c>
      <c r="AZ76" s="641" t="s">
        <v>125</v>
      </c>
      <c r="BA76" s="642"/>
      <c r="BB76" s="43">
        <f>SUM(BB67:BB75)</f>
        <v>165759.29000000007</v>
      </c>
    </row>
    <row r="77" spans="1:54" s="3" customFormat="1" ht="15" x14ac:dyDescent="0.2">
      <c r="A77" s="34" t="s">
        <v>296</v>
      </c>
      <c r="B77" s="47"/>
      <c r="C77" s="47"/>
      <c r="D77" s="48" t="s">
        <v>297</v>
      </c>
      <c r="E77" s="42"/>
      <c r="F77" s="37"/>
      <c r="G77" s="49"/>
      <c r="H77" s="257"/>
      <c r="I77" s="49"/>
      <c r="J77" s="37"/>
      <c r="K77" s="288"/>
      <c r="L77" s="38"/>
      <c r="M77" s="213"/>
      <c r="N77" s="98"/>
      <c r="O77" s="98"/>
      <c r="P77" s="214"/>
      <c r="Q77" s="98"/>
      <c r="R77" s="98"/>
      <c r="S77" s="214"/>
      <c r="T77" s="98"/>
      <c r="U77" s="98"/>
      <c r="V77" s="214"/>
      <c r="W77" s="98"/>
      <c r="X77" s="98"/>
      <c r="Y77" s="214"/>
      <c r="Z77" s="98"/>
      <c r="AA77" s="98"/>
      <c r="AB77" s="214"/>
      <c r="AC77" s="98"/>
      <c r="AD77" s="98"/>
      <c r="AE77" s="214"/>
      <c r="AF77" s="98"/>
      <c r="AG77" s="98"/>
      <c r="AH77" s="214"/>
      <c r="AI77" s="98"/>
      <c r="AJ77" s="98"/>
      <c r="AK77" s="214"/>
      <c r="AL77" s="98"/>
      <c r="AM77" s="98"/>
      <c r="AN77" s="214"/>
      <c r="AO77" s="98"/>
      <c r="AP77" s="98"/>
      <c r="AQ77" s="214"/>
      <c r="AR77" s="98"/>
      <c r="AS77" s="98"/>
      <c r="AT77" s="214"/>
      <c r="AU77" s="98"/>
      <c r="AV77" s="215"/>
      <c r="AW77" s="214"/>
      <c r="AX77" s="98"/>
      <c r="AY77" s="204"/>
      <c r="AZ77" s="214"/>
      <c r="BA77" s="98"/>
      <c r="BB77" s="204"/>
    </row>
    <row r="78" spans="1:54" s="3" customFormat="1" ht="42.75" x14ac:dyDescent="0.2">
      <c r="A78" s="39" t="s">
        <v>298</v>
      </c>
      <c r="B78" s="37" t="s">
        <v>104</v>
      </c>
      <c r="C78" s="37" t="s">
        <v>104</v>
      </c>
      <c r="D78" s="95" t="s">
        <v>299</v>
      </c>
      <c r="E78" s="28" t="s">
        <v>98</v>
      </c>
      <c r="F78" s="346">
        <f>248.41*0.9*1.25</f>
        <v>279.46125000000001</v>
      </c>
      <c r="G78" s="49">
        <f>'Quat Const.'!F71</f>
        <v>5.67</v>
      </c>
      <c r="H78" s="257">
        <f>G78</f>
        <v>5.67</v>
      </c>
      <c r="I78" s="37">
        <f t="shared" ref="I78:I85" si="141">H78-G78</f>
        <v>0</v>
      </c>
      <c r="J78" s="37">
        <f t="shared" ref="J78:J85" si="142">ROUND((F78*(1+$K$8))*(1+$G$8),2)</f>
        <v>351.59</v>
      </c>
      <c r="K78" s="288">
        <f t="shared" ref="K78:K85" si="143">TRUNC(J78*G78,2)</f>
        <v>1993.51</v>
      </c>
      <c r="L78" s="38">
        <f t="shared" si="37"/>
        <v>0</v>
      </c>
      <c r="M78" s="213">
        <f t="shared" ref="M78:M85" si="144">N78/$H78*100</f>
        <v>0</v>
      </c>
      <c r="N78" s="98"/>
      <c r="O78" s="98">
        <f t="shared" ref="O78:O85" si="145">TRUNC(N78*$J78,2)</f>
        <v>0</v>
      </c>
      <c r="P78" s="214">
        <f t="shared" ref="P78:P85" si="146">Q78/$H78*100</f>
        <v>0</v>
      </c>
      <c r="Q78" s="98"/>
      <c r="R78" s="98">
        <f t="shared" ref="R78:R85" si="147">TRUNC(Q78*$J78,2)</f>
        <v>0</v>
      </c>
      <c r="S78" s="214">
        <f t="shared" ref="S78:S85" si="148">T78/$H78*100</f>
        <v>0</v>
      </c>
      <c r="T78" s="98"/>
      <c r="U78" s="98">
        <f t="shared" ref="U78:U85" si="149">TRUNC(T78*$J78,2)</f>
        <v>0</v>
      </c>
      <c r="V78" s="214">
        <f t="shared" ref="V78:V85" si="150">W78/$H78*100</f>
        <v>0</v>
      </c>
      <c r="W78" s="98"/>
      <c r="X78" s="98">
        <f t="shared" ref="X78:X85" si="151">TRUNC(W78*$J78,2)</f>
        <v>0</v>
      </c>
      <c r="Y78" s="214">
        <f t="shared" ref="Y78:Y85" si="152">Z78/$H78*100</f>
        <v>0</v>
      </c>
      <c r="Z78" s="98"/>
      <c r="AA78" s="98">
        <f t="shared" ref="AA78:AA85" si="153">TRUNC(Z78*$J78,2)</f>
        <v>0</v>
      </c>
      <c r="AB78" s="214">
        <f t="shared" ref="AB78:AB85" si="154">AC78/$H78*100</f>
        <v>0</v>
      </c>
      <c r="AC78" s="98"/>
      <c r="AD78" s="98">
        <f t="shared" ref="AD78:AD85" si="155">TRUNC(AC78*$J78,2)</f>
        <v>0</v>
      </c>
      <c r="AE78" s="214">
        <f t="shared" ref="AE78:AE85" si="156">AF78/$H78*100</f>
        <v>0</v>
      </c>
      <c r="AF78" s="98"/>
      <c r="AG78" s="98">
        <f t="shared" ref="AG78:AG85" si="157">TRUNC(AF78*$J78,2)</f>
        <v>0</v>
      </c>
      <c r="AH78" s="214">
        <f t="shared" ref="AH78:AH85" si="158">AI78/$H78*100</f>
        <v>0</v>
      </c>
      <c r="AI78" s="98"/>
      <c r="AJ78" s="98">
        <f t="shared" ref="AJ78:AJ85" si="159">TRUNC(AI78*$J78,2)</f>
        <v>0</v>
      </c>
      <c r="AK78" s="214">
        <f t="shared" ref="AK78:AK85" si="160">AL78/$H78*100</f>
        <v>0</v>
      </c>
      <c r="AL78" s="98"/>
      <c r="AM78" s="98">
        <f t="shared" ref="AM78:AM85" si="161">TRUNC(AL78*$J78,2)</f>
        <v>0</v>
      </c>
      <c r="AN78" s="214">
        <f t="shared" ref="AN78:AN85" si="162">AO78/$H78*100</f>
        <v>0</v>
      </c>
      <c r="AO78" s="98"/>
      <c r="AP78" s="98">
        <f t="shared" ref="AP78:AP85" si="163">TRUNC(AO78*$J78,2)</f>
        <v>0</v>
      </c>
      <c r="AQ78" s="214">
        <f t="shared" ref="AQ78:AQ85" si="164">AR78/$H78*100</f>
        <v>0</v>
      </c>
      <c r="AR78" s="98"/>
      <c r="AS78" s="98">
        <f t="shared" ref="AS78:AS85" si="165">TRUNC(AR78*$J78,2)</f>
        <v>0</v>
      </c>
      <c r="AT78" s="214">
        <f t="shared" ref="AT78:AT85" si="166">AU78/$H78*100</f>
        <v>0</v>
      </c>
      <c r="AU78" s="98"/>
      <c r="AV78" s="215">
        <f t="shared" ref="AV78:AV85" si="167">TRUNC(AU78*$J78,2)</f>
        <v>0</v>
      </c>
      <c r="AW78" s="214">
        <f t="shared" ref="AW78:AW85" si="168">AX78/$H78*100</f>
        <v>0</v>
      </c>
      <c r="AX78" s="98">
        <f t="shared" ref="AX78:AX85" si="169">Q78+N78+T78+W78+Z78+AC78+AF78+AI78+AL78+AO78+AR78+AU78</f>
        <v>0</v>
      </c>
      <c r="AY78" s="204">
        <f t="shared" ref="AY78:AY85" si="170">TRUNC(AX78*$J78,2)</f>
        <v>0</v>
      </c>
      <c r="AZ78" s="214">
        <f t="shared" ref="AZ78:AZ85" si="171">BA78/$H78*100</f>
        <v>100</v>
      </c>
      <c r="BA78" s="98">
        <f t="shared" ref="BA78:BA85" si="172">H78-AX78</f>
        <v>5.67</v>
      </c>
      <c r="BB78" s="204">
        <f t="shared" ref="BB78:BB85" si="173">TRUNC(BA78*$J78,2)</f>
        <v>1993.51</v>
      </c>
    </row>
    <row r="79" spans="1:54" s="3" customFormat="1" ht="57" x14ac:dyDescent="0.2">
      <c r="A79" s="39" t="s">
        <v>300</v>
      </c>
      <c r="B79" s="37" t="s">
        <v>104</v>
      </c>
      <c r="C79" s="37" t="s">
        <v>104</v>
      </c>
      <c r="D79" s="95" t="s">
        <v>301</v>
      </c>
      <c r="E79" s="28" t="s">
        <v>98</v>
      </c>
      <c r="F79" s="346">
        <f>230*1.25</f>
        <v>287.5</v>
      </c>
      <c r="G79" s="49">
        <f>'Quat Const.'!F72</f>
        <v>24.57</v>
      </c>
      <c r="H79" s="257">
        <f t="shared" ref="H79:H85" si="174">G79</f>
        <v>24.57</v>
      </c>
      <c r="I79" s="37">
        <f t="shared" si="141"/>
        <v>0</v>
      </c>
      <c r="J79" s="37">
        <f t="shared" si="142"/>
        <v>361.7</v>
      </c>
      <c r="K79" s="288">
        <f t="shared" si="143"/>
        <v>8886.9599999999991</v>
      </c>
      <c r="L79" s="38">
        <f t="shared" si="37"/>
        <v>0</v>
      </c>
      <c r="M79" s="213">
        <f>N79/$H79*100</f>
        <v>0</v>
      </c>
      <c r="N79" s="98"/>
      <c r="O79" s="98">
        <f t="shared" si="145"/>
        <v>0</v>
      </c>
      <c r="P79" s="214">
        <f t="shared" si="146"/>
        <v>0</v>
      </c>
      <c r="Q79" s="98"/>
      <c r="R79" s="98">
        <f t="shared" si="147"/>
        <v>0</v>
      </c>
      <c r="S79" s="214">
        <f t="shared" si="148"/>
        <v>0</v>
      </c>
      <c r="T79" s="98"/>
      <c r="U79" s="98">
        <f t="shared" si="149"/>
        <v>0</v>
      </c>
      <c r="V79" s="214">
        <f t="shared" si="150"/>
        <v>0</v>
      </c>
      <c r="W79" s="98"/>
      <c r="X79" s="98">
        <f t="shared" si="151"/>
        <v>0</v>
      </c>
      <c r="Y79" s="214">
        <f t="shared" si="152"/>
        <v>0</v>
      </c>
      <c r="Z79" s="98"/>
      <c r="AA79" s="98">
        <f t="shared" si="153"/>
        <v>0</v>
      </c>
      <c r="AB79" s="214">
        <f t="shared" si="154"/>
        <v>0</v>
      </c>
      <c r="AC79" s="98"/>
      <c r="AD79" s="98">
        <f t="shared" si="155"/>
        <v>0</v>
      </c>
      <c r="AE79" s="214">
        <f t="shared" si="156"/>
        <v>0</v>
      </c>
      <c r="AF79" s="98"/>
      <c r="AG79" s="98">
        <f t="shared" si="157"/>
        <v>0</v>
      </c>
      <c r="AH79" s="214">
        <f t="shared" si="158"/>
        <v>0</v>
      </c>
      <c r="AI79" s="98"/>
      <c r="AJ79" s="98">
        <f t="shared" si="159"/>
        <v>0</v>
      </c>
      <c r="AK79" s="214">
        <f t="shared" si="160"/>
        <v>0</v>
      </c>
      <c r="AL79" s="98"/>
      <c r="AM79" s="98">
        <f t="shared" si="161"/>
        <v>0</v>
      </c>
      <c r="AN79" s="214">
        <f t="shared" si="162"/>
        <v>0</v>
      </c>
      <c r="AO79" s="98"/>
      <c r="AP79" s="98">
        <f t="shared" si="163"/>
        <v>0</v>
      </c>
      <c r="AQ79" s="214">
        <f t="shared" si="164"/>
        <v>0</v>
      </c>
      <c r="AR79" s="98"/>
      <c r="AS79" s="98">
        <f t="shared" si="165"/>
        <v>0</v>
      </c>
      <c r="AT79" s="214">
        <f t="shared" si="166"/>
        <v>0</v>
      </c>
      <c r="AU79" s="98"/>
      <c r="AV79" s="215">
        <f t="shared" si="167"/>
        <v>0</v>
      </c>
      <c r="AW79" s="214">
        <f>AX79/$H79*100</f>
        <v>0</v>
      </c>
      <c r="AX79" s="98">
        <f t="shared" si="169"/>
        <v>0</v>
      </c>
      <c r="AY79" s="204">
        <f t="shared" si="170"/>
        <v>0</v>
      </c>
      <c r="AZ79" s="214">
        <f>BA79/$H79*100</f>
        <v>100</v>
      </c>
      <c r="BA79" s="98">
        <f t="shared" si="172"/>
        <v>24.57</v>
      </c>
      <c r="BB79" s="204">
        <f t="shared" si="173"/>
        <v>8886.9599999999991</v>
      </c>
    </row>
    <row r="80" spans="1:54" s="3" customFormat="1" ht="42.75" x14ac:dyDescent="0.2">
      <c r="A80" s="39" t="s">
        <v>302</v>
      </c>
      <c r="B80" s="37" t="s">
        <v>104</v>
      </c>
      <c r="C80" s="37" t="s">
        <v>104</v>
      </c>
      <c r="D80" s="95" t="s">
        <v>303</v>
      </c>
      <c r="E80" s="28" t="s">
        <v>98</v>
      </c>
      <c r="F80" s="346">
        <f>248.41*0.9*1.25</f>
        <v>279.46125000000001</v>
      </c>
      <c r="G80" s="49">
        <f>'Quat Const.'!F73</f>
        <v>15.12</v>
      </c>
      <c r="H80" s="257">
        <f t="shared" si="174"/>
        <v>15.12</v>
      </c>
      <c r="I80" s="37">
        <f t="shared" si="141"/>
        <v>0</v>
      </c>
      <c r="J80" s="37">
        <f t="shared" si="142"/>
        <v>351.59</v>
      </c>
      <c r="K80" s="288">
        <f t="shared" si="143"/>
        <v>5316.04</v>
      </c>
      <c r="L80" s="38">
        <f t="shared" si="37"/>
        <v>0</v>
      </c>
      <c r="M80" s="213">
        <f>N80/$H80*100</f>
        <v>0</v>
      </c>
      <c r="N80" s="98"/>
      <c r="O80" s="98">
        <f t="shared" si="145"/>
        <v>0</v>
      </c>
      <c r="P80" s="214">
        <f t="shared" si="146"/>
        <v>0</v>
      </c>
      <c r="Q80" s="98"/>
      <c r="R80" s="98">
        <f t="shared" si="147"/>
        <v>0</v>
      </c>
      <c r="S80" s="214">
        <f t="shared" si="148"/>
        <v>0</v>
      </c>
      <c r="T80" s="98"/>
      <c r="U80" s="98">
        <f t="shared" si="149"/>
        <v>0</v>
      </c>
      <c r="V80" s="214">
        <f t="shared" si="150"/>
        <v>0</v>
      </c>
      <c r="W80" s="98"/>
      <c r="X80" s="98">
        <f t="shared" si="151"/>
        <v>0</v>
      </c>
      <c r="Y80" s="214">
        <f t="shared" si="152"/>
        <v>0</v>
      </c>
      <c r="Z80" s="98"/>
      <c r="AA80" s="98">
        <f t="shared" si="153"/>
        <v>0</v>
      </c>
      <c r="AB80" s="214">
        <f t="shared" si="154"/>
        <v>0</v>
      </c>
      <c r="AC80" s="98"/>
      <c r="AD80" s="98">
        <f t="shared" si="155"/>
        <v>0</v>
      </c>
      <c r="AE80" s="214">
        <f t="shared" si="156"/>
        <v>0</v>
      </c>
      <c r="AF80" s="98"/>
      <c r="AG80" s="98">
        <f t="shared" si="157"/>
        <v>0</v>
      </c>
      <c r="AH80" s="214">
        <f t="shared" si="158"/>
        <v>0</v>
      </c>
      <c r="AI80" s="98"/>
      <c r="AJ80" s="98">
        <f t="shared" si="159"/>
        <v>0</v>
      </c>
      <c r="AK80" s="214">
        <f t="shared" si="160"/>
        <v>0</v>
      </c>
      <c r="AL80" s="98"/>
      <c r="AM80" s="98">
        <f t="shared" si="161"/>
        <v>0</v>
      </c>
      <c r="AN80" s="214">
        <f t="shared" si="162"/>
        <v>0</v>
      </c>
      <c r="AO80" s="98"/>
      <c r="AP80" s="98">
        <f t="shared" si="163"/>
        <v>0</v>
      </c>
      <c r="AQ80" s="214">
        <f t="shared" si="164"/>
        <v>0</v>
      </c>
      <c r="AR80" s="98"/>
      <c r="AS80" s="98">
        <f t="shared" si="165"/>
        <v>0</v>
      </c>
      <c r="AT80" s="214">
        <f t="shared" si="166"/>
        <v>0</v>
      </c>
      <c r="AU80" s="98"/>
      <c r="AV80" s="215">
        <f t="shared" si="167"/>
        <v>0</v>
      </c>
      <c r="AW80" s="214">
        <f>AX80/$H80*100</f>
        <v>0</v>
      </c>
      <c r="AX80" s="98">
        <f t="shared" si="169"/>
        <v>0</v>
      </c>
      <c r="AY80" s="204">
        <f t="shared" si="170"/>
        <v>0</v>
      </c>
      <c r="AZ80" s="214">
        <f>BA80/$H80*100</f>
        <v>100</v>
      </c>
      <c r="BA80" s="98">
        <f t="shared" si="172"/>
        <v>15.12</v>
      </c>
      <c r="BB80" s="204">
        <f t="shared" si="173"/>
        <v>5316.04</v>
      </c>
    </row>
    <row r="81" spans="1:54" s="3" customFormat="1" ht="28.5" x14ac:dyDescent="0.2">
      <c r="A81" s="39" t="s">
        <v>304</v>
      </c>
      <c r="B81" s="37" t="s">
        <v>104</v>
      </c>
      <c r="C81" s="37" t="s">
        <v>104</v>
      </c>
      <c r="D81" s="50" t="s">
        <v>305</v>
      </c>
      <c r="E81" s="28" t="s">
        <v>110</v>
      </c>
      <c r="F81" s="347">
        <f>258.56*1.25</f>
        <v>323.2</v>
      </c>
      <c r="G81" s="49">
        <f>'Quat Const.'!F75</f>
        <v>2</v>
      </c>
      <c r="H81" s="257">
        <f t="shared" si="174"/>
        <v>2</v>
      </c>
      <c r="I81" s="37">
        <f t="shared" si="141"/>
        <v>0</v>
      </c>
      <c r="J81" s="37">
        <f t="shared" si="142"/>
        <v>406.62</v>
      </c>
      <c r="K81" s="288">
        <f t="shared" si="143"/>
        <v>813.24</v>
      </c>
      <c r="L81" s="38">
        <f t="shared" si="37"/>
        <v>0</v>
      </c>
      <c r="M81" s="213">
        <f t="shared" si="144"/>
        <v>0</v>
      </c>
      <c r="N81" s="98"/>
      <c r="O81" s="98">
        <f t="shared" si="145"/>
        <v>0</v>
      </c>
      <c r="P81" s="214">
        <f t="shared" si="146"/>
        <v>0</v>
      </c>
      <c r="Q81" s="98"/>
      <c r="R81" s="98">
        <f t="shared" si="147"/>
        <v>0</v>
      </c>
      <c r="S81" s="214">
        <f t="shared" si="148"/>
        <v>0</v>
      </c>
      <c r="T81" s="98"/>
      <c r="U81" s="98">
        <f t="shared" si="149"/>
        <v>0</v>
      </c>
      <c r="V81" s="214">
        <f t="shared" si="150"/>
        <v>0</v>
      </c>
      <c r="W81" s="98"/>
      <c r="X81" s="98">
        <f t="shared" si="151"/>
        <v>0</v>
      </c>
      <c r="Y81" s="214">
        <f t="shared" si="152"/>
        <v>0</v>
      </c>
      <c r="Z81" s="98"/>
      <c r="AA81" s="98">
        <f t="shared" si="153"/>
        <v>0</v>
      </c>
      <c r="AB81" s="214">
        <f t="shared" si="154"/>
        <v>0</v>
      </c>
      <c r="AC81" s="98"/>
      <c r="AD81" s="98">
        <f t="shared" si="155"/>
        <v>0</v>
      </c>
      <c r="AE81" s="214">
        <f t="shared" si="156"/>
        <v>0</v>
      </c>
      <c r="AF81" s="98"/>
      <c r="AG81" s="98">
        <f t="shared" si="157"/>
        <v>0</v>
      </c>
      <c r="AH81" s="214">
        <f t="shared" si="158"/>
        <v>0</v>
      </c>
      <c r="AI81" s="98"/>
      <c r="AJ81" s="98">
        <f t="shared" si="159"/>
        <v>0</v>
      </c>
      <c r="AK81" s="214">
        <f t="shared" si="160"/>
        <v>0</v>
      </c>
      <c r="AL81" s="98"/>
      <c r="AM81" s="98">
        <f t="shared" si="161"/>
        <v>0</v>
      </c>
      <c r="AN81" s="214">
        <f t="shared" si="162"/>
        <v>0</v>
      </c>
      <c r="AO81" s="98"/>
      <c r="AP81" s="98">
        <f t="shared" si="163"/>
        <v>0</v>
      </c>
      <c r="AQ81" s="214">
        <f t="shared" si="164"/>
        <v>0</v>
      </c>
      <c r="AR81" s="98"/>
      <c r="AS81" s="98">
        <f t="shared" si="165"/>
        <v>0</v>
      </c>
      <c r="AT81" s="214">
        <f t="shared" si="166"/>
        <v>0</v>
      </c>
      <c r="AU81" s="98"/>
      <c r="AV81" s="215">
        <f t="shared" si="167"/>
        <v>0</v>
      </c>
      <c r="AW81" s="214">
        <f t="shared" si="168"/>
        <v>0</v>
      </c>
      <c r="AX81" s="98">
        <f t="shared" si="169"/>
        <v>0</v>
      </c>
      <c r="AY81" s="204">
        <f t="shared" si="170"/>
        <v>0</v>
      </c>
      <c r="AZ81" s="214">
        <f t="shared" si="171"/>
        <v>100</v>
      </c>
      <c r="BA81" s="98">
        <f t="shared" si="172"/>
        <v>2</v>
      </c>
      <c r="BB81" s="204">
        <f t="shared" si="173"/>
        <v>813.24</v>
      </c>
    </row>
    <row r="82" spans="1:54" s="3" customFormat="1" ht="42.75" x14ac:dyDescent="0.2">
      <c r="A82" s="39" t="s">
        <v>306</v>
      </c>
      <c r="B82" s="37" t="s">
        <v>104</v>
      </c>
      <c r="C82" s="37" t="s">
        <v>104</v>
      </c>
      <c r="D82" s="96" t="s">
        <v>307</v>
      </c>
      <c r="E82" s="28" t="s">
        <v>98</v>
      </c>
      <c r="F82" s="348">
        <f>400*1.25</f>
        <v>500</v>
      </c>
      <c r="G82" s="49">
        <f>'Quat Const.'!F76</f>
        <v>8.16</v>
      </c>
      <c r="H82" s="257">
        <f t="shared" si="174"/>
        <v>8.16</v>
      </c>
      <c r="I82" s="37">
        <f t="shared" si="141"/>
        <v>0</v>
      </c>
      <c r="J82" s="37">
        <f t="shared" si="142"/>
        <v>629.04999999999995</v>
      </c>
      <c r="K82" s="288">
        <f t="shared" si="143"/>
        <v>5133.04</v>
      </c>
      <c r="L82" s="38">
        <f t="shared" si="37"/>
        <v>0</v>
      </c>
      <c r="M82" s="213">
        <f t="shared" si="144"/>
        <v>0</v>
      </c>
      <c r="N82" s="98"/>
      <c r="O82" s="98">
        <f t="shared" si="145"/>
        <v>0</v>
      </c>
      <c r="P82" s="214">
        <f t="shared" si="146"/>
        <v>0</v>
      </c>
      <c r="Q82" s="98"/>
      <c r="R82" s="98">
        <f t="shared" si="147"/>
        <v>0</v>
      </c>
      <c r="S82" s="214">
        <f t="shared" si="148"/>
        <v>0</v>
      </c>
      <c r="T82" s="98"/>
      <c r="U82" s="98">
        <f t="shared" si="149"/>
        <v>0</v>
      </c>
      <c r="V82" s="214">
        <f t="shared" si="150"/>
        <v>0</v>
      </c>
      <c r="W82" s="98"/>
      <c r="X82" s="98">
        <f t="shared" si="151"/>
        <v>0</v>
      </c>
      <c r="Y82" s="214">
        <f t="shared" si="152"/>
        <v>0</v>
      </c>
      <c r="Z82" s="98"/>
      <c r="AA82" s="98">
        <f t="shared" si="153"/>
        <v>0</v>
      </c>
      <c r="AB82" s="214">
        <f t="shared" si="154"/>
        <v>0</v>
      </c>
      <c r="AC82" s="98"/>
      <c r="AD82" s="98">
        <f t="shared" si="155"/>
        <v>0</v>
      </c>
      <c r="AE82" s="214">
        <f t="shared" si="156"/>
        <v>0</v>
      </c>
      <c r="AF82" s="98"/>
      <c r="AG82" s="98">
        <f t="shared" si="157"/>
        <v>0</v>
      </c>
      <c r="AH82" s="214">
        <f t="shared" si="158"/>
        <v>0</v>
      </c>
      <c r="AI82" s="98"/>
      <c r="AJ82" s="98">
        <f t="shared" si="159"/>
        <v>0</v>
      </c>
      <c r="AK82" s="214">
        <f t="shared" si="160"/>
        <v>0</v>
      </c>
      <c r="AL82" s="98"/>
      <c r="AM82" s="98">
        <f t="shared" si="161"/>
        <v>0</v>
      </c>
      <c r="AN82" s="214">
        <f t="shared" si="162"/>
        <v>0</v>
      </c>
      <c r="AO82" s="98"/>
      <c r="AP82" s="98">
        <f t="shared" si="163"/>
        <v>0</v>
      </c>
      <c r="AQ82" s="214">
        <f t="shared" si="164"/>
        <v>0</v>
      </c>
      <c r="AR82" s="98"/>
      <c r="AS82" s="98">
        <f t="shared" si="165"/>
        <v>0</v>
      </c>
      <c r="AT82" s="214">
        <f t="shared" si="166"/>
        <v>0</v>
      </c>
      <c r="AU82" s="98"/>
      <c r="AV82" s="215">
        <f t="shared" si="167"/>
        <v>0</v>
      </c>
      <c r="AW82" s="214">
        <f t="shared" si="168"/>
        <v>0</v>
      </c>
      <c r="AX82" s="98">
        <f t="shared" si="169"/>
        <v>0</v>
      </c>
      <c r="AY82" s="204">
        <f t="shared" si="170"/>
        <v>0</v>
      </c>
      <c r="AZ82" s="214">
        <f t="shared" si="171"/>
        <v>100</v>
      </c>
      <c r="BA82" s="98">
        <f t="shared" si="172"/>
        <v>8.16</v>
      </c>
      <c r="BB82" s="204">
        <f t="shared" si="173"/>
        <v>5133.04</v>
      </c>
    </row>
    <row r="83" spans="1:54" s="217" customFormat="1" ht="28.5" x14ac:dyDescent="0.2">
      <c r="A83" s="39" t="s">
        <v>308</v>
      </c>
      <c r="B83" s="37" t="s">
        <v>104</v>
      </c>
      <c r="C83" s="37" t="s">
        <v>104</v>
      </c>
      <c r="D83" s="97" t="s">
        <v>309</v>
      </c>
      <c r="E83" s="28" t="s">
        <v>110</v>
      </c>
      <c r="F83" s="341">
        <f>354.09*1.25</f>
        <v>442.61249999999995</v>
      </c>
      <c r="G83" s="49">
        <f>'Quat Const.'!F77</f>
        <v>27</v>
      </c>
      <c r="H83" s="257">
        <f t="shared" si="174"/>
        <v>27</v>
      </c>
      <c r="I83" s="37">
        <f t="shared" si="141"/>
        <v>0</v>
      </c>
      <c r="J83" s="37">
        <f t="shared" si="142"/>
        <v>556.85</v>
      </c>
      <c r="K83" s="288">
        <f t="shared" si="143"/>
        <v>15034.95</v>
      </c>
      <c r="L83" s="38">
        <f t="shared" si="37"/>
        <v>0</v>
      </c>
      <c r="M83" s="213">
        <f t="shared" si="144"/>
        <v>0</v>
      </c>
      <c r="N83" s="98"/>
      <c r="O83" s="98">
        <f t="shared" si="145"/>
        <v>0</v>
      </c>
      <c r="P83" s="214">
        <f t="shared" si="146"/>
        <v>0</v>
      </c>
      <c r="Q83" s="98"/>
      <c r="R83" s="98">
        <f t="shared" si="147"/>
        <v>0</v>
      </c>
      <c r="S83" s="214">
        <f t="shared" si="148"/>
        <v>0</v>
      </c>
      <c r="T83" s="98"/>
      <c r="U83" s="98">
        <f t="shared" si="149"/>
        <v>0</v>
      </c>
      <c r="V83" s="214">
        <f t="shared" si="150"/>
        <v>0</v>
      </c>
      <c r="W83" s="98"/>
      <c r="X83" s="98">
        <f t="shared" si="151"/>
        <v>0</v>
      </c>
      <c r="Y83" s="214">
        <f t="shared" si="152"/>
        <v>0</v>
      </c>
      <c r="Z83" s="98"/>
      <c r="AA83" s="98">
        <f t="shared" si="153"/>
        <v>0</v>
      </c>
      <c r="AB83" s="214">
        <f t="shared" si="154"/>
        <v>0</v>
      </c>
      <c r="AC83" s="98"/>
      <c r="AD83" s="98">
        <f t="shared" si="155"/>
        <v>0</v>
      </c>
      <c r="AE83" s="214">
        <f t="shared" si="156"/>
        <v>0</v>
      </c>
      <c r="AF83" s="98"/>
      <c r="AG83" s="98">
        <f t="shared" si="157"/>
        <v>0</v>
      </c>
      <c r="AH83" s="214">
        <f t="shared" si="158"/>
        <v>0</v>
      </c>
      <c r="AI83" s="98"/>
      <c r="AJ83" s="98">
        <f t="shared" si="159"/>
        <v>0</v>
      </c>
      <c r="AK83" s="214">
        <f t="shared" si="160"/>
        <v>0</v>
      </c>
      <c r="AL83" s="98"/>
      <c r="AM83" s="98">
        <f t="shared" si="161"/>
        <v>0</v>
      </c>
      <c r="AN83" s="214">
        <f t="shared" si="162"/>
        <v>0</v>
      </c>
      <c r="AO83" s="98"/>
      <c r="AP83" s="98">
        <f t="shared" si="163"/>
        <v>0</v>
      </c>
      <c r="AQ83" s="214">
        <f t="shared" si="164"/>
        <v>0</v>
      </c>
      <c r="AR83" s="98"/>
      <c r="AS83" s="98">
        <f t="shared" si="165"/>
        <v>0</v>
      </c>
      <c r="AT83" s="214">
        <f t="shared" si="166"/>
        <v>0</v>
      </c>
      <c r="AU83" s="98"/>
      <c r="AV83" s="215">
        <f t="shared" si="167"/>
        <v>0</v>
      </c>
      <c r="AW83" s="214">
        <f t="shared" si="168"/>
        <v>0</v>
      </c>
      <c r="AX83" s="98">
        <f t="shared" si="169"/>
        <v>0</v>
      </c>
      <c r="AY83" s="204">
        <f t="shared" si="170"/>
        <v>0</v>
      </c>
      <c r="AZ83" s="214">
        <f t="shared" si="171"/>
        <v>100</v>
      </c>
      <c r="BA83" s="98">
        <f t="shared" si="172"/>
        <v>27</v>
      </c>
      <c r="BB83" s="204">
        <f t="shared" si="173"/>
        <v>15034.95</v>
      </c>
    </row>
    <row r="84" spans="1:54" s="217" customFormat="1" ht="28.5" x14ac:dyDescent="0.2">
      <c r="A84" s="39" t="s">
        <v>310</v>
      </c>
      <c r="B84" s="37" t="s">
        <v>104</v>
      </c>
      <c r="C84" s="37" t="s">
        <v>104</v>
      </c>
      <c r="D84" s="97" t="s">
        <v>311</v>
      </c>
      <c r="E84" s="28" t="s">
        <v>110</v>
      </c>
      <c r="F84" s="341">
        <f>121.15*1.25</f>
        <v>151.4375</v>
      </c>
      <c r="G84" s="49">
        <f>'Quat Const.'!F78</f>
        <v>60</v>
      </c>
      <c r="H84" s="257">
        <f t="shared" si="174"/>
        <v>60</v>
      </c>
      <c r="I84" s="37">
        <f t="shared" si="141"/>
        <v>0</v>
      </c>
      <c r="J84" s="37">
        <f t="shared" si="142"/>
        <v>190.52</v>
      </c>
      <c r="K84" s="288">
        <f t="shared" si="143"/>
        <v>11431.2</v>
      </c>
      <c r="L84" s="38">
        <f t="shared" si="37"/>
        <v>0</v>
      </c>
      <c r="M84" s="213">
        <f>N84/$H84*100</f>
        <v>0</v>
      </c>
      <c r="N84" s="98"/>
      <c r="O84" s="98">
        <f t="shared" si="145"/>
        <v>0</v>
      </c>
      <c r="P84" s="214">
        <f t="shared" si="146"/>
        <v>0</v>
      </c>
      <c r="Q84" s="98"/>
      <c r="R84" s="98">
        <f t="shared" si="147"/>
        <v>0</v>
      </c>
      <c r="S84" s="214">
        <f t="shared" si="148"/>
        <v>0</v>
      </c>
      <c r="T84" s="98"/>
      <c r="U84" s="98">
        <f t="shared" si="149"/>
        <v>0</v>
      </c>
      <c r="V84" s="214">
        <f t="shared" si="150"/>
        <v>0</v>
      </c>
      <c r="W84" s="98"/>
      <c r="X84" s="98">
        <f t="shared" si="151"/>
        <v>0</v>
      </c>
      <c r="Y84" s="214">
        <f t="shared" si="152"/>
        <v>0</v>
      </c>
      <c r="Z84" s="98"/>
      <c r="AA84" s="98">
        <f t="shared" si="153"/>
        <v>0</v>
      </c>
      <c r="AB84" s="214">
        <f t="shared" si="154"/>
        <v>0</v>
      </c>
      <c r="AC84" s="98"/>
      <c r="AD84" s="98">
        <f t="shared" si="155"/>
        <v>0</v>
      </c>
      <c r="AE84" s="214">
        <f t="shared" si="156"/>
        <v>0</v>
      </c>
      <c r="AF84" s="98"/>
      <c r="AG84" s="98">
        <f t="shared" si="157"/>
        <v>0</v>
      </c>
      <c r="AH84" s="214">
        <f t="shared" si="158"/>
        <v>0</v>
      </c>
      <c r="AI84" s="98"/>
      <c r="AJ84" s="98">
        <f t="shared" si="159"/>
        <v>0</v>
      </c>
      <c r="AK84" s="214">
        <f t="shared" si="160"/>
        <v>0</v>
      </c>
      <c r="AL84" s="98"/>
      <c r="AM84" s="98">
        <f t="shared" si="161"/>
        <v>0</v>
      </c>
      <c r="AN84" s="214">
        <f t="shared" si="162"/>
        <v>0</v>
      </c>
      <c r="AO84" s="98"/>
      <c r="AP84" s="98">
        <f t="shared" si="163"/>
        <v>0</v>
      </c>
      <c r="AQ84" s="214">
        <f t="shared" si="164"/>
        <v>0</v>
      </c>
      <c r="AR84" s="98"/>
      <c r="AS84" s="98">
        <f t="shared" si="165"/>
        <v>0</v>
      </c>
      <c r="AT84" s="214">
        <f t="shared" si="166"/>
        <v>0</v>
      </c>
      <c r="AU84" s="98"/>
      <c r="AV84" s="215">
        <f t="shared" si="167"/>
        <v>0</v>
      </c>
      <c r="AW84" s="214">
        <f>AX84/$H84*100</f>
        <v>0</v>
      </c>
      <c r="AX84" s="98">
        <f t="shared" si="169"/>
        <v>0</v>
      </c>
      <c r="AY84" s="204">
        <f t="shared" si="170"/>
        <v>0</v>
      </c>
      <c r="AZ84" s="214">
        <f>BA84/$H84*100</f>
        <v>100</v>
      </c>
      <c r="BA84" s="98">
        <f t="shared" si="172"/>
        <v>60</v>
      </c>
      <c r="BB84" s="204">
        <f t="shared" si="173"/>
        <v>11431.2</v>
      </c>
    </row>
    <row r="85" spans="1:54" s="217" customFormat="1" ht="28.5" x14ac:dyDescent="0.2">
      <c r="A85" s="39" t="s">
        <v>312</v>
      </c>
      <c r="B85" s="37" t="s">
        <v>104</v>
      </c>
      <c r="C85" s="37" t="s">
        <v>104</v>
      </c>
      <c r="D85" s="97" t="s">
        <v>313</v>
      </c>
      <c r="E85" s="28" t="s">
        <v>110</v>
      </c>
      <c r="F85" s="341">
        <f>72*1.25</f>
        <v>90</v>
      </c>
      <c r="G85" s="49">
        <f>'Quat Const.'!F79</f>
        <v>4</v>
      </c>
      <c r="H85" s="257">
        <f t="shared" si="174"/>
        <v>4</v>
      </c>
      <c r="I85" s="37">
        <f t="shared" si="141"/>
        <v>0</v>
      </c>
      <c r="J85" s="37">
        <f t="shared" si="142"/>
        <v>113.23</v>
      </c>
      <c r="K85" s="288">
        <f t="shared" si="143"/>
        <v>452.92</v>
      </c>
      <c r="L85" s="38">
        <f t="shared" si="37"/>
        <v>0</v>
      </c>
      <c r="M85" s="213">
        <f t="shared" si="144"/>
        <v>0</v>
      </c>
      <c r="N85" s="98"/>
      <c r="O85" s="98">
        <f t="shared" si="145"/>
        <v>0</v>
      </c>
      <c r="P85" s="214">
        <f t="shared" si="146"/>
        <v>0</v>
      </c>
      <c r="Q85" s="98"/>
      <c r="R85" s="98">
        <f t="shared" si="147"/>
        <v>0</v>
      </c>
      <c r="S85" s="214">
        <f t="shared" si="148"/>
        <v>0</v>
      </c>
      <c r="T85" s="98"/>
      <c r="U85" s="98">
        <f t="shared" si="149"/>
        <v>0</v>
      </c>
      <c r="V85" s="214">
        <f t="shared" si="150"/>
        <v>0</v>
      </c>
      <c r="W85" s="98"/>
      <c r="X85" s="98">
        <f t="shared" si="151"/>
        <v>0</v>
      </c>
      <c r="Y85" s="214">
        <f t="shared" si="152"/>
        <v>0</v>
      </c>
      <c r="Z85" s="98"/>
      <c r="AA85" s="98">
        <f t="shared" si="153"/>
        <v>0</v>
      </c>
      <c r="AB85" s="214">
        <f t="shared" si="154"/>
        <v>0</v>
      </c>
      <c r="AC85" s="98"/>
      <c r="AD85" s="98">
        <f t="shared" si="155"/>
        <v>0</v>
      </c>
      <c r="AE85" s="214">
        <f t="shared" si="156"/>
        <v>0</v>
      </c>
      <c r="AF85" s="98"/>
      <c r="AG85" s="98">
        <f t="shared" si="157"/>
        <v>0</v>
      </c>
      <c r="AH85" s="214">
        <f t="shared" si="158"/>
        <v>0</v>
      </c>
      <c r="AI85" s="98"/>
      <c r="AJ85" s="98">
        <f t="shared" si="159"/>
        <v>0</v>
      </c>
      <c r="AK85" s="214">
        <f t="shared" si="160"/>
        <v>0</v>
      </c>
      <c r="AL85" s="98"/>
      <c r="AM85" s="98">
        <f t="shared" si="161"/>
        <v>0</v>
      </c>
      <c r="AN85" s="214">
        <f t="shared" si="162"/>
        <v>0</v>
      </c>
      <c r="AO85" s="98"/>
      <c r="AP85" s="98">
        <f t="shared" si="163"/>
        <v>0</v>
      </c>
      <c r="AQ85" s="214">
        <f t="shared" si="164"/>
        <v>0</v>
      </c>
      <c r="AR85" s="98"/>
      <c r="AS85" s="98">
        <f t="shared" si="165"/>
        <v>0</v>
      </c>
      <c r="AT85" s="214">
        <f t="shared" si="166"/>
        <v>0</v>
      </c>
      <c r="AU85" s="98"/>
      <c r="AV85" s="215">
        <f t="shared" si="167"/>
        <v>0</v>
      </c>
      <c r="AW85" s="214">
        <f t="shared" si="168"/>
        <v>0</v>
      </c>
      <c r="AX85" s="98">
        <f t="shared" si="169"/>
        <v>0</v>
      </c>
      <c r="AY85" s="204">
        <f t="shared" si="170"/>
        <v>0</v>
      </c>
      <c r="AZ85" s="214">
        <f t="shared" si="171"/>
        <v>100</v>
      </c>
      <c r="BA85" s="98">
        <f t="shared" si="172"/>
        <v>4</v>
      </c>
      <c r="BB85" s="204">
        <f t="shared" si="173"/>
        <v>452.92</v>
      </c>
    </row>
    <row r="86" spans="1:54" s="3" customFormat="1" ht="15" customHeight="1" x14ac:dyDescent="0.2">
      <c r="A86" s="34"/>
      <c r="B86" s="45"/>
      <c r="C86" s="45"/>
      <c r="D86" s="51"/>
      <c r="E86" s="42"/>
      <c r="F86" s="37"/>
      <c r="G86" s="37"/>
      <c r="H86" s="642" t="s">
        <v>125</v>
      </c>
      <c r="I86" s="642"/>
      <c r="J86" s="642"/>
      <c r="K86" s="172">
        <f>SUM(K78:K85)</f>
        <v>49061.86</v>
      </c>
      <c r="L86" s="43">
        <f>SUM(L78:L85)</f>
        <v>0</v>
      </c>
      <c r="M86" s="648" t="s">
        <v>125</v>
      </c>
      <c r="N86" s="642"/>
      <c r="O86" s="172">
        <f>SUM(O78:O85)</f>
        <v>0</v>
      </c>
      <c r="P86" s="641" t="s">
        <v>125</v>
      </c>
      <c r="Q86" s="642"/>
      <c r="R86" s="172">
        <f>SUM(R78:R85)</f>
        <v>0</v>
      </c>
      <c r="S86" s="641" t="s">
        <v>125</v>
      </c>
      <c r="T86" s="642"/>
      <c r="U86" s="172">
        <f>SUM(U78:U85)</f>
        <v>0</v>
      </c>
      <c r="V86" s="641" t="s">
        <v>125</v>
      </c>
      <c r="W86" s="642"/>
      <c r="X86" s="172">
        <f>SUM(X78:X85)</f>
        <v>0</v>
      </c>
      <c r="Y86" s="641" t="s">
        <v>125</v>
      </c>
      <c r="Z86" s="642"/>
      <c r="AA86" s="172">
        <f>SUM(AA78:AA85)</f>
        <v>0</v>
      </c>
      <c r="AB86" s="641" t="s">
        <v>125</v>
      </c>
      <c r="AC86" s="642"/>
      <c r="AD86" s="172">
        <f>SUM(AD78:AD85)</f>
        <v>0</v>
      </c>
      <c r="AE86" s="641" t="s">
        <v>125</v>
      </c>
      <c r="AF86" s="642"/>
      <c r="AG86" s="172">
        <f>SUM(AG78:AG85)</f>
        <v>0</v>
      </c>
      <c r="AH86" s="641" t="s">
        <v>125</v>
      </c>
      <c r="AI86" s="642"/>
      <c r="AJ86" s="172">
        <f>SUM(AJ78:AJ85)</f>
        <v>0</v>
      </c>
      <c r="AK86" s="641" t="s">
        <v>125</v>
      </c>
      <c r="AL86" s="642"/>
      <c r="AM86" s="172">
        <f>SUM(AM78:AM85)</f>
        <v>0</v>
      </c>
      <c r="AN86" s="641" t="s">
        <v>125</v>
      </c>
      <c r="AO86" s="642"/>
      <c r="AP86" s="172">
        <f>SUM(AP78:AP85)</f>
        <v>0</v>
      </c>
      <c r="AQ86" s="641" t="s">
        <v>125</v>
      </c>
      <c r="AR86" s="642"/>
      <c r="AS86" s="172">
        <f>SUM(AS78:AS85)</f>
        <v>0</v>
      </c>
      <c r="AT86" s="641" t="s">
        <v>125</v>
      </c>
      <c r="AU86" s="642"/>
      <c r="AV86" s="173">
        <f>SUM(AV78:AV85)</f>
        <v>0</v>
      </c>
      <c r="AW86" s="641" t="s">
        <v>125</v>
      </c>
      <c r="AX86" s="642"/>
      <c r="AY86" s="43">
        <f>SUM(AY78:AY85)</f>
        <v>0</v>
      </c>
      <c r="AZ86" s="641" t="s">
        <v>125</v>
      </c>
      <c r="BA86" s="642"/>
      <c r="BB86" s="43">
        <f>SUM(BB78:BB85)</f>
        <v>49061.86</v>
      </c>
    </row>
    <row r="87" spans="1:54" s="3" customFormat="1" ht="15" x14ac:dyDescent="0.2">
      <c r="A87" s="34" t="s">
        <v>314</v>
      </c>
      <c r="B87" s="47"/>
      <c r="C87" s="47"/>
      <c r="D87" s="48" t="s">
        <v>315</v>
      </c>
      <c r="E87" s="42"/>
      <c r="F87" s="37"/>
      <c r="G87" s="49"/>
      <c r="H87" s="257"/>
      <c r="I87" s="49"/>
      <c r="J87" s="37"/>
      <c r="K87" s="288"/>
      <c r="L87" s="38"/>
      <c r="M87" s="213"/>
      <c r="N87" s="98"/>
      <c r="O87" s="98"/>
      <c r="P87" s="214"/>
      <c r="Q87" s="98"/>
      <c r="R87" s="98"/>
      <c r="S87" s="214"/>
      <c r="T87" s="98"/>
      <c r="U87" s="98"/>
      <c r="V87" s="214"/>
      <c r="W87" s="98"/>
      <c r="X87" s="98"/>
      <c r="Y87" s="214"/>
      <c r="Z87" s="98"/>
      <c r="AA87" s="98"/>
      <c r="AB87" s="214"/>
      <c r="AC87" s="98"/>
      <c r="AD87" s="98"/>
      <c r="AE87" s="214"/>
      <c r="AF87" s="98"/>
      <c r="AG87" s="98"/>
      <c r="AH87" s="214"/>
      <c r="AI87" s="98"/>
      <c r="AJ87" s="98"/>
      <c r="AK87" s="214"/>
      <c r="AL87" s="98"/>
      <c r="AM87" s="98"/>
      <c r="AN87" s="214"/>
      <c r="AO87" s="98"/>
      <c r="AP87" s="98"/>
      <c r="AQ87" s="214"/>
      <c r="AR87" s="98"/>
      <c r="AS87" s="98"/>
      <c r="AT87" s="214"/>
      <c r="AU87" s="98"/>
      <c r="AV87" s="215"/>
      <c r="AW87" s="214"/>
      <c r="AX87" s="98"/>
      <c r="AY87" s="204"/>
      <c r="AZ87" s="214"/>
      <c r="BA87" s="98"/>
      <c r="BB87" s="204"/>
    </row>
    <row r="88" spans="1:54" s="3" customFormat="1" ht="28.5" x14ac:dyDescent="0.2">
      <c r="A88" s="39" t="s">
        <v>316</v>
      </c>
      <c r="B88" s="338" t="s">
        <v>317</v>
      </c>
      <c r="C88" s="28" t="s">
        <v>318</v>
      </c>
      <c r="D88" s="50" t="s">
        <v>319</v>
      </c>
      <c r="E88" s="28" t="s">
        <v>98</v>
      </c>
      <c r="F88" s="329">
        <v>3.05</v>
      </c>
      <c r="G88" s="37">
        <f>'Quat Const.'!F82</f>
        <v>1091.33</v>
      </c>
      <c r="H88" s="242">
        <f t="shared" ref="H88:H93" si="175">G88</f>
        <v>1091.33</v>
      </c>
      <c r="I88" s="37">
        <f t="shared" ref="I88:I93" si="176">H88-G88</f>
        <v>0</v>
      </c>
      <c r="J88" s="37">
        <f t="shared" ref="J88:J93" si="177">ROUND((F88*(1+$K$8))*(1+$G$8),2)</f>
        <v>3.84</v>
      </c>
      <c r="K88" s="288">
        <f t="shared" ref="K88:K93" si="178">TRUNC(J88*G88,2)</f>
        <v>4190.7</v>
      </c>
      <c r="L88" s="38">
        <f t="shared" si="37"/>
        <v>0</v>
      </c>
      <c r="M88" s="213">
        <f t="shared" ref="M88:M93" si="179">N88/$H88*100</f>
        <v>0</v>
      </c>
      <c r="N88" s="98"/>
      <c r="O88" s="98">
        <f t="shared" ref="O88:O93" si="180">TRUNC(N88*$J88,2)</f>
        <v>0</v>
      </c>
      <c r="P88" s="214">
        <f t="shared" ref="P88:P93" si="181">Q88/$H88*100</f>
        <v>0</v>
      </c>
      <c r="Q88" s="98"/>
      <c r="R88" s="98">
        <f t="shared" ref="R88:R93" si="182">TRUNC(Q88*$J88,2)</f>
        <v>0</v>
      </c>
      <c r="S88" s="214">
        <f t="shared" ref="S88:S93" si="183">T88/$H88*100</f>
        <v>0</v>
      </c>
      <c r="T88" s="98"/>
      <c r="U88" s="98">
        <f t="shared" ref="U88:U93" si="184">TRUNC(T88*$J88,2)</f>
        <v>0</v>
      </c>
      <c r="V88" s="214">
        <f t="shared" ref="V88:V93" si="185">W88/$H88*100</f>
        <v>0</v>
      </c>
      <c r="W88" s="98"/>
      <c r="X88" s="98">
        <f t="shared" ref="X88:X93" si="186">TRUNC(W88*$J88,2)</f>
        <v>0</v>
      </c>
      <c r="Y88" s="214">
        <f t="shared" ref="Y88:Y93" si="187">Z88/$H88*100</f>
        <v>0</v>
      </c>
      <c r="Z88" s="98"/>
      <c r="AA88" s="98">
        <f t="shared" ref="AA88:AA93" si="188">TRUNC(Z88*$J88,2)</f>
        <v>0</v>
      </c>
      <c r="AB88" s="214">
        <f t="shared" ref="AB88:AB93" si="189">AC88/$H88*100</f>
        <v>0</v>
      </c>
      <c r="AC88" s="98"/>
      <c r="AD88" s="98">
        <f t="shared" ref="AD88:AD93" si="190">TRUNC(AC88*$J88,2)</f>
        <v>0</v>
      </c>
      <c r="AE88" s="214">
        <f t="shared" ref="AE88:AE93" si="191">AF88/$H88*100</f>
        <v>0</v>
      </c>
      <c r="AF88" s="98"/>
      <c r="AG88" s="98">
        <f t="shared" ref="AG88:AG93" si="192">TRUNC(AF88*$J88,2)</f>
        <v>0</v>
      </c>
      <c r="AH88" s="214">
        <f t="shared" ref="AH88:AH93" si="193">AI88/$H88*100</f>
        <v>0</v>
      </c>
      <c r="AI88" s="98"/>
      <c r="AJ88" s="98">
        <f t="shared" ref="AJ88:AJ93" si="194">TRUNC(AI88*$J88,2)</f>
        <v>0</v>
      </c>
      <c r="AK88" s="214">
        <f t="shared" ref="AK88:AK93" si="195">AL88/$H88*100</f>
        <v>0</v>
      </c>
      <c r="AL88" s="98"/>
      <c r="AM88" s="98">
        <f t="shared" ref="AM88:AM93" si="196">TRUNC(AL88*$J88,2)</f>
        <v>0</v>
      </c>
      <c r="AN88" s="214">
        <f t="shared" ref="AN88:AN93" si="197">AO88/$H88*100</f>
        <v>0</v>
      </c>
      <c r="AO88" s="98"/>
      <c r="AP88" s="98">
        <f t="shared" ref="AP88:AP93" si="198">TRUNC(AO88*$J88,2)</f>
        <v>0</v>
      </c>
      <c r="AQ88" s="214">
        <f t="shared" ref="AQ88:AQ93" si="199">AR88/$H88*100</f>
        <v>0</v>
      </c>
      <c r="AR88" s="98"/>
      <c r="AS88" s="98">
        <f t="shared" ref="AS88:AS93" si="200">TRUNC(AR88*$J88,2)</f>
        <v>0</v>
      </c>
      <c r="AT88" s="214">
        <f t="shared" ref="AT88:AT93" si="201">AU88/$H88*100</f>
        <v>0</v>
      </c>
      <c r="AU88" s="98"/>
      <c r="AV88" s="215">
        <f t="shared" ref="AV88:AV93" si="202">TRUNC(AU88*$J88,2)</f>
        <v>0</v>
      </c>
      <c r="AW88" s="214">
        <f t="shared" ref="AW88:AW93" si="203">AX88/$H88*100</f>
        <v>0</v>
      </c>
      <c r="AX88" s="98">
        <f t="shared" ref="AX88:AX93" si="204">Q88+N88+T88+W88+Z88+AC88+AF88+AI88+AL88+AO88+AR88+AU88</f>
        <v>0</v>
      </c>
      <c r="AY88" s="204">
        <f t="shared" ref="AY88:AY93" si="205">TRUNC(AX88*$J88,2)</f>
        <v>0</v>
      </c>
      <c r="AZ88" s="214">
        <f t="shared" ref="AZ88:AZ93" si="206">BA88/$H88*100</f>
        <v>100</v>
      </c>
      <c r="BA88" s="98">
        <f t="shared" ref="BA88:BA93" si="207">H88-AX88</f>
        <v>1091.33</v>
      </c>
      <c r="BB88" s="204">
        <f t="shared" ref="BB88:BB93" si="208">TRUNC(BA88*$J88,2)</f>
        <v>4190.7</v>
      </c>
    </row>
    <row r="89" spans="1:54" s="3" customFormat="1" ht="28.5" x14ac:dyDescent="0.2">
      <c r="A89" s="39" t="s">
        <v>320</v>
      </c>
      <c r="B89" s="338" t="s">
        <v>321</v>
      </c>
      <c r="C89" s="28" t="s">
        <v>322</v>
      </c>
      <c r="D89" s="50" t="s">
        <v>323</v>
      </c>
      <c r="E89" s="28" t="s">
        <v>98</v>
      </c>
      <c r="F89" s="329">
        <v>12.69</v>
      </c>
      <c r="G89" s="37">
        <f>'Quat Const.'!F83</f>
        <v>1091.33</v>
      </c>
      <c r="H89" s="242">
        <f t="shared" si="175"/>
        <v>1091.33</v>
      </c>
      <c r="I89" s="37">
        <f t="shared" si="176"/>
        <v>0</v>
      </c>
      <c r="J89" s="37">
        <f t="shared" si="177"/>
        <v>15.97</v>
      </c>
      <c r="K89" s="288">
        <f t="shared" si="178"/>
        <v>17428.54</v>
      </c>
      <c r="L89" s="38">
        <f t="shared" si="37"/>
        <v>0</v>
      </c>
      <c r="M89" s="213">
        <f t="shared" si="179"/>
        <v>0</v>
      </c>
      <c r="N89" s="98"/>
      <c r="O89" s="98">
        <f t="shared" si="180"/>
        <v>0</v>
      </c>
      <c r="P89" s="214">
        <f t="shared" si="181"/>
        <v>0</v>
      </c>
      <c r="Q89" s="98"/>
      <c r="R89" s="98">
        <f t="shared" si="182"/>
        <v>0</v>
      </c>
      <c r="S89" s="214">
        <f t="shared" si="183"/>
        <v>0</v>
      </c>
      <c r="T89" s="98"/>
      <c r="U89" s="98">
        <f t="shared" si="184"/>
        <v>0</v>
      </c>
      <c r="V89" s="214">
        <f t="shared" si="185"/>
        <v>0</v>
      </c>
      <c r="W89" s="98"/>
      <c r="X89" s="98">
        <f t="shared" si="186"/>
        <v>0</v>
      </c>
      <c r="Y89" s="214">
        <f t="shared" si="187"/>
        <v>0</v>
      </c>
      <c r="Z89" s="98"/>
      <c r="AA89" s="98">
        <f t="shared" si="188"/>
        <v>0</v>
      </c>
      <c r="AB89" s="214">
        <f t="shared" si="189"/>
        <v>0</v>
      </c>
      <c r="AC89" s="98"/>
      <c r="AD89" s="98">
        <f t="shared" si="190"/>
        <v>0</v>
      </c>
      <c r="AE89" s="214">
        <f t="shared" si="191"/>
        <v>0</v>
      </c>
      <c r="AF89" s="98"/>
      <c r="AG89" s="98">
        <f t="shared" si="192"/>
        <v>0</v>
      </c>
      <c r="AH89" s="214">
        <f t="shared" si="193"/>
        <v>0</v>
      </c>
      <c r="AI89" s="98"/>
      <c r="AJ89" s="98">
        <f t="shared" si="194"/>
        <v>0</v>
      </c>
      <c r="AK89" s="214">
        <f t="shared" si="195"/>
        <v>0</v>
      </c>
      <c r="AL89" s="98"/>
      <c r="AM89" s="98">
        <f t="shared" si="196"/>
        <v>0</v>
      </c>
      <c r="AN89" s="214">
        <f t="shared" si="197"/>
        <v>0</v>
      </c>
      <c r="AO89" s="98"/>
      <c r="AP89" s="98">
        <f t="shared" si="198"/>
        <v>0</v>
      </c>
      <c r="AQ89" s="214">
        <f t="shared" si="199"/>
        <v>0</v>
      </c>
      <c r="AR89" s="98"/>
      <c r="AS89" s="98">
        <f t="shared" si="200"/>
        <v>0</v>
      </c>
      <c r="AT89" s="214">
        <f t="shared" si="201"/>
        <v>0</v>
      </c>
      <c r="AU89" s="98"/>
      <c r="AV89" s="215">
        <f t="shared" si="202"/>
        <v>0</v>
      </c>
      <c r="AW89" s="214">
        <f t="shared" si="203"/>
        <v>0</v>
      </c>
      <c r="AX89" s="98">
        <f t="shared" si="204"/>
        <v>0</v>
      </c>
      <c r="AY89" s="204">
        <f t="shared" si="205"/>
        <v>0</v>
      </c>
      <c r="AZ89" s="214">
        <f t="shared" si="206"/>
        <v>100</v>
      </c>
      <c r="BA89" s="98">
        <f t="shared" si="207"/>
        <v>1091.33</v>
      </c>
      <c r="BB89" s="204">
        <f t="shared" si="208"/>
        <v>17428.54</v>
      </c>
    </row>
    <row r="90" spans="1:54" s="3" customFormat="1" ht="28.5" x14ac:dyDescent="0.2">
      <c r="A90" s="39" t="s">
        <v>324</v>
      </c>
      <c r="B90" s="338" t="s">
        <v>325</v>
      </c>
      <c r="C90" s="28" t="s">
        <v>326</v>
      </c>
      <c r="D90" s="50" t="s">
        <v>327</v>
      </c>
      <c r="E90" s="28" t="s">
        <v>98</v>
      </c>
      <c r="F90" s="329">
        <v>27.84</v>
      </c>
      <c r="G90" s="37">
        <f>'Quat Const.'!F84</f>
        <v>258.19</v>
      </c>
      <c r="H90" s="242">
        <f t="shared" si="175"/>
        <v>258.19</v>
      </c>
      <c r="I90" s="37">
        <f t="shared" si="176"/>
        <v>0</v>
      </c>
      <c r="J90" s="37">
        <f t="shared" si="177"/>
        <v>35.03</v>
      </c>
      <c r="K90" s="288">
        <f t="shared" si="178"/>
        <v>9044.39</v>
      </c>
      <c r="L90" s="38">
        <f>TRUNC(J90*I90,2)</f>
        <v>0</v>
      </c>
      <c r="M90" s="213">
        <f t="shared" si="179"/>
        <v>0</v>
      </c>
      <c r="N90" s="98"/>
      <c r="O90" s="98">
        <f t="shared" si="180"/>
        <v>0</v>
      </c>
      <c r="P90" s="214">
        <f t="shared" si="181"/>
        <v>0</v>
      </c>
      <c r="Q90" s="98"/>
      <c r="R90" s="98">
        <f t="shared" si="182"/>
        <v>0</v>
      </c>
      <c r="S90" s="214">
        <f t="shared" si="183"/>
        <v>0</v>
      </c>
      <c r="T90" s="98"/>
      <c r="U90" s="98">
        <f t="shared" si="184"/>
        <v>0</v>
      </c>
      <c r="V90" s="214">
        <f t="shared" si="185"/>
        <v>0</v>
      </c>
      <c r="W90" s="98"/>
      <c r="X90" s="98">
        <f t="shared" si="186"/>
        <v>0</v>
      </c>
      <c r="Y90" s="214">
        <f t="shared" si="187"/>
        <v>0</v>
      </c>
      <c r="Z90" s="98"/>
      <c r="AA90" s="98">
        <f t="shared" si="188"/>
        <v>0</v>
      </c>
      <c r="AB90" s="214">
        <f t="shared" si="189"/>
        <v>0</v>
      </c>
      <c r="AC90" s="98"/>
      <c r="AD90" s="98">
        <f t="shared" si="190"/>
        <v>0</v>
      </c>
      <c r="AE90" s="214">
        <f t="shared" si="191"/>
        <v>0</v>
      </c>
      <c r="AF90" s="98"/>
      <c r="AG90" s="98">
        <f t="shared" si="192"/>
        <v>0</v>
      </c>
      <c r="AH90" s="214">
        <f t="shared" si="193"/>
        <v>0</v>
      </c>
      <c r="AI90" s="98"/>
      <c r="AJ90" s="98">
        <f t="shared" si="194"/>
        <v>0</v>
      </c>
      <c r="AK90" s="214">
        <f t="shared" si="195"/>
        <v>0</v>
      </c>
      <c r="AL90" s="98"/>
      <c r="AM90" s="98">
        <f t="shared" si="196"/>
        <v>0</v>
      </c>
      <c r="AN90" s="214">
        <f t="shared" si="197"/>
        <v>0</v>
      </c>
      <c r="AO90" s="98"/>
      <c r="AP90" s="98">
        <f t="shared" si="198"/>
        <v>0</v>
      </c>
      <c r="AQ90" s="214">
        <f t="shared" si="199"/>
        <v>0</v>
      </c>
      <c r="AR90" s="98"/>
      <c r="AS90" s="98">
        <f t="shared" si="200"/>
        <v>0</v>
      </c>
      <c r="AT90" s="214">
        <f t="shared" si="201"/>
        <v>0</v>
      </c>
      <c r="AU90" s="98"/>
      <c r="AV90" s="215">
        <f t="shared" si="202"/>
        <v>0</v>
      </c>
      <c r="AW90" s="214">
        <f t="shared" si="203"/>
        <v>0</v>
      </c>
      <c r="AX90" s="98">
        <f t="shared" si="204"/>
        <v>0</v>
      </c>
      <c r="AY90" s="204">
        <f t="shared" si="205"/>
        <v>0</v>
      </c>
      <c r="AZ90" s="214">
        <f t="shared" si="206"/>
        <v>100</v>
      </c>
      <c r="BA90" s="98">
        <f t="shared" si="207"/>
        <v>258.19</v>
      </c>
      <c r="BB90" s="204">
        <f t="shared" si="208"/>
        <v>9044.39</v>
      </c>
    </row>
    <row r="91" spans="1:54" s="3" customFormat="1" ht="28.5" x14ac:dyDescent="0.2">
      <c r="A91" s="39" t="s">
        <v>328</v>
      </c>
      <c r="B91" s="338" t="s">
        <v>329</v>
      </c>
      <c r="C91" s="28" t="s">
        <v>330</v>
      </c>
      <c r="D91" s="50" t="s">
        <v>331</v>
      </c>
      <c r="E91" s="28" t="s">
        <v>98</v>
      </c>
      <c r="F91" s="329">
        <v>5.17</v>
      </c>
      <c r="G91" s="37">
        <f>'Quat Const.'!F85</f>
        <v>258.19</v>
      </c>
      <c r="H91" s="242">
        <f t="shared" si="175"/>
        <v>258.19</v>
      </c>
      <c r="I91" s="37">
        <f t="shared" si="176"/>
        <v>0</v>
      </c>
      <c r="J91" s="37">
        <f t="shared" si="177"/>
        <v>6.5</v>
      </c>
      <c r="K91" s="288">
        <f t="shared" si="178"/>
        <v>1678.23</v>
      </c>
      <c r="L91" s="38">
        <f>TRUNC(J91*I91,2)</f>
        <v>0</v>
      </c>
      <c r="M91" s="213">
        <f t="shared" si="179"/>
        <v>0</v>
      </c>
      <c r="N91" s="98"/>
      <c r="O91" s="98">
        <f t="shared" si="180"/>
        <v>0</v>
      </c>
      <c r="P91" s="214">
        <f t="shared" si="181"/>
        <v>0</v>
      </c>
      <c r="Q91" s="98"/>
      <c r="R91" s="98">
        <f t="shared" si="182"/>
        <v>0</v>
      </c>
      <c r="S91" s="214">
        <f t="shared" si="183"/>
        <v>0</v>
      </c>
      <c r="T91" s="98"/>
      <c r="U91" s="98">
        <f t="shared" si="184"/>
        <v>0</v>
      </c>
      <c r="V91" s="214">
        <f t="shared" si="185"/>
        <v>0</v>
      </c>
      <c r="W91" s="98"/>
      <c r="X91" s="98">
        <f t="shared" si="186"/>
        <v>0</v>
      </c>
      <c r="Y91" s="214">
        <f t="shared" si="187"/>
        <v>0</v>
      </c>
      <c r="Z91" s="98"/>
      <c r="AA91" s="98">
        <f t="shared" si="188"/>
        <v>0</v>
      </c>
      <c r="AB91" s="214">
        <f t="shared" si="189"/>
        <v>0</v>
      </c>
      <c r="AC91" s="98"/>
      <c r="AD91" s="98">
        <f t="shared" si="190"/>
        <v>0</v>
      </c>
      <c r="AE91" s="214">
        <f t="shared" si="191"/>
        <v>0</v>
      </c>
      <c r="AF91" s="98"/>
      <c r="AG91" s="98">
        <f t="shared" si="192"/>
        <v>0</v>
      </c>
      <c r="AH91" s="214">
        <f t="shared" si="193"/>
        <v>0</v>
      </c>
      <c r="AI91" s="98"/>
      <c r="AJ91" s="98">
        <f t="shared" si="194"/>
        <v>0</v>
      </c>
      <c r="AK91" s="214">
        <f t="shared" si="195"/>
        <v>0</v>
      </c>
      <c r="AL91" s="98"/>
      <c r="AM91" s="98">
        <f t="shared" si="196"/>
        <v>0</v>
      </c>
      <c r="AN91" s="214">
        <f t="shared" si="197"/>
        <v>0</v>
      </c>
      <c r="AO91" s="98"/>
      <c r="AP91" s="98">
        <f t="shared" si="198"/>
        <v>0</v>
      </c>
      <c r="AQ91" s="214">
        <f t="shared" si="199"/>
        <v>0</v>
      </c>
      <c r="AR91" s="98"/>
      <c r="AS91" s="98">
        <f t="shared" si="200"/>
        <v>0</v>
      </c>
      <c r="AT91" s="214">
        <f t="shared" si="201"/>
        <v>0</v>
      </c>
      <c r="AU91" s="98"/>
      <c r="AV91" s="215">
        <f t="shared" si="202"/>
        <v>0</v>
      </c>
      <c r="AW91" s="214">
        <f t="shared" si="203"/>
        <v>0</v>
      </c>
      <c r="AX91" s="98">
        <f t="shared" si="204"/>
        <v>0</v>
      </c>
      <c r="AY91" s="204">
        <f t="shared" si="205"/>
        <v>0</v>
      </c>
      <c r="AZ91" s="214">
        <f t="shared" si="206"/>
        <v>100</v>
      </c>
      <c r="BA91" s="98">
        <f t="shared" si="207"/>
        <v>258.19</v>
      </c>
      <c r="BB91" s="204">
        <f t="shared" si="208"/>
        <v>1678.23</v>
      </c>
    </row>
    <row r="92" spans="1:54" s="3" customFormat="1" ht="15" x14ac:dyDescent="0.2">
      <c r="A92" s="39" t="s">
        <v>332</v>
      </c>
      <c r="B92" s="338" t="s">
        <v>333</v>
      </c>
      <c r="C92" s="28" t="s">
        <v>334</v>
      </c>
      <c r="D92" s="58" t="s">
        <v>335</v>
      </c>
      <c r="E92" s="28" t="s">
        <v>275</v>
      </c>
      <c r="F92" s="329">
        <v>8.76</v>
      </c>
      <c r="G92" s="37">
        <f>'Quat Const.'!F86</f>
        <v>12</v>
      </c>
      <c r="H92" s="242">
        <f t="shared" si="175"/>
        <v>12</v>
      </c>
      <c r="I92" s="37">
        <f t="shared" si="176"/>
        <v>0</v>
      </c>
      <c r="J92" s="37">
        <f t="shared" si="177"/>
        <v>11.02</v>
      </c>
      <c r="K92" s="288">
        <f t="shared" si="178"/>
        <v>132.24</v>
      </c>
      <c r="L92" s="38">
        <f>TRUNC(J92*I92,2)</f>
        <v>0</v>
      </c>
      <c r="M92" s="213">
        <f t="shared" si="179"/>
        <v>0</v>
      </c>
      <c r="N92" s="98"/>
      <c r="O92" s="98">
        <f t="shared" si="180"/>
        <v>0</v>
      </c>
      <c r="P92" s="214">
        <f t="shared" si="181"/>
        <v>0</v>
      </c>
      <c r="Q92" s="98"/>
      <c r="R92" s="98">
        <f t="shared" si="182"/>
        <v>0</v>
      </c>
      <c r="S92" s="214">
        <f t="shared" si="183"/>
        <v>0</v>
      </c>
      <c r="T92" s="98"/>
      <c r="U92" s="98">
        <f t="shared" si="184"/>
        <v>0</v>
      </c>
      <c r="V92" s="214">
        <f t="shared" si="185"/>
        <v>0</v>
      </c>
      <c r="W92" s="98"/>
      <c r="X92" s="98">
        <f t="shared" si="186"/>
        <v>0</v>
      </c>
      <c r="Y92" s="214">
        <f t="shared" si="187"/>
        <v>0</v>
      </c>
      <c r="Z92" s="98"/>
      <c r="AA92" s="98">
        <f t="shared" si="188"/>
        <v>0</v>
      </c>
      <c r="AB92" s="214">
        <f t="shared" si="189"/>
        <v>0</v>
      </c>
      <c r="AC92" s="98"/>
      <c r="AD92" s="98">
        <f t="shared" si="190"/>
        <v>0</v>
      </c>
      <c r="AE92" s="214">
        <f t="shared" si="191"/>
        <v>0</v>
      </c>
      <c r="AF92" s="98"/>
      <c r="AG92" s="98">
        <f t="shared" si="192"/>
        <v>0</v>
      </c>
      <c r="AH92" s="214">
        <f t="shared" si="193"/>
        <v>0</v>
      </c>
      <c r="AI92" s="98"/>
      <c r="AJ92" s="98">
        <f t="shared" si="194"/>
        <v>0</v>
      </c>
      <c r="AK92" s="214">
        <f t="shared" si="195"/>
        <v>0</v>
      </c>
      <c r="AL92" s="98"/>
      <c r="AM92" s="98">
        <f t="shared" si="196"/>
        <v>0</v>
      </c>
      <c r="AN92" s="214">
        <f t="shared" si="197"/>
        <v>0</v>
      </c>
      <c r="AO92" s="98"/>
      <c r="AP92" s="98">
        <f t="shared" si="198"/>
        <v>0</v>
      </c>
      <c r="AQ92" s="214">
        <f t="shared" si="199"/>
        <v>0</v>
      </c>
      <c r="AR92" s="98"/>
      <c r="AS92" s="98">
        <f t="shared" si="200"/>
        <v>0</v>
      </c>
      <c r="AT92" s="214">
        <f t="shared" si="201"/>
        <v>0</v>
      </c>
      <c r="AU92" s="98"/>
      <c r="AV92" s="215">
        <f t="shared" si="202"/>
        <v>0</v>
      </c>
      <c r="AW92" s="214">
        <f t="shared" si="203"/>
        <v>0</v>
      </c>
      <c r="AX92" s="98">
        <f t="shared" si="204"/>
        <v>0</v>
      </c>
      <c r="AY92" s="204">
        <f t="shared" si="205"/>
        <v>0</v>
      </c>
      <c r="AZ92" s="214">
        <f t="shared" si="206"/>
        <v>100</v>
      </c>
      <c r="BA92" s="98">
        <f t="shared" si="207"/>
        <v>12</v>
      </c>
      <c r="BB92" s="204">
        <f t="shared" si="208"/>
        <v>132.24</v>
      </c>
    </row>
    <row r="93" spans="1:54" s="217" customFormat="1" ht="42.75" x14ac:dyDescent="0.2">
      <c r="A93" s="39" t="s">
        <v>336</v>
      </c>
      <c r="B93" s="338" t="s">
        <v>337</v>
      </c>
      <c r="C93" s="28" t="s">
        <v>338</v>
      </c>
      <c r="D93" s="92" t="s">
        <v>339</v>
      </c>
      <c r="E93" s="28" t="s">
        <v>98</v>
      </c>
      <c r="F93" s="329">
        <v>43.58</v>
      </c>
      <c r="G93" s="37">
        <f>'Quat Const.'!F87</f>
        <v>30</v>
      </c>
      <c r="H93" s="242">
        <f t="shared" si="175"/>
        <v>30</v>
      </c>
      <c r="I93" s="37">
        <f t="shared" si="176"/>
        <v>0</v>
      </c>
      <c r="J93" s="37">
        <f t="shared" si="177"/>
        <v>54.83</v>
      </c>
      <c r="K93" s="288">
        <f t="shared" si="178"/>
        <v>1644.9</v>
      </c>
      <c r="L93" s="38">
        <f>TRUNC(J93*I93,2)</f>
        <v>0</v>
      </c>
      <c r="M93" s="213">
        <f t="shared" si="179"/>
        <v>0</v>
      </c>
      <c r="N93" s="98"/>
      <c r="O93" s="98">
        <f t="shared" si="180"/>
        <v>0</v>
      </c>
      <c r="P93" s="214">
        <f t="shared" si="181"/>
        <v>0</v>
      </c>
      <c r="Q93" s="98"/>
      <c r="R93" s="98">
        <f t="shared" si="182"/>
        <v>0</v>
      </c>
      <c r="S93" s="214">
        <f t="shared" si="183"/>
        <v>0</v>
      </c>
      <c r="T93" s="98"/>
      <c r="U93" s="98">
        <f t="shared" si="184"/>
        <v>0</v>
      </c>
      <c r="V93" s="214">
        <f t="shared" si="185"/>
        <v>0</v>
      </c>
      <c r="W93" s="98"/>
      <c r="X93" s="98">
        <f t="shared" si="186"/>
        <v>0</v>
      </c>
      <c r="Y93" s="214">
        <f t="shared" si="187"/>
        <v>0</v>
      </c>
      <c r="Z93" s="98"/>
      <c r="AA93" s="98">
        <f t="shared" si="188"/>
        <v>0</v>
      </c>
      <c r="AB93" s="214">
        <f t="shared" si="189"/>
        <v>0</v>
      </c>
      <c r="AC93" s="98"/>
      <c r="AD93" s="98">
        <f t="shared" si="190"/>
        <v>0</v>
      </c>
      <c r="AE93" s="214">
        <f t="shared" si="191"/>
        <v>0</v>
      </c>
      <c r="AF93" s="98"/>
      <c r="AG93" s="98">
        <f t="shared" si="192"/>
        <v>0</v>
      </c>
      <c r="AH93" s="214">
        <f t="shared" si="193"/>
        <v>0</v>
      </c>
      <c r="AI93" s="98"/>
      <c r="AJ93" s="98">
        <f t="shared" si="194"/>
        <v>0</v>
      </c>
      <c r="AK93" s="214">
        <f t="shared" si="195"/>
        <v>0</v>
      </c>
      <c r="AL93" s="98"/>
      <c r="AM93" s="98">
        <f t="shared" si="196"/>
        <v>0</v>
      </c>
      <c r="AN93" s="214">
        <f t="shared" si="197"/>
        <v>0</v>
      </c>
      <c r="AO93" s="98"/>
      <c r="AP93" s="98">
        <f t="shared" si="198"/>
        <v>0</v>
      </c>
      <c r="AQ93" s="214">
        <f t="shared" si="199"/>
        <v>0</v>
      </c>
      <c r="AR93" s="98"/>
      <c r="AS93" s="98">
        <f t="shared" si="200"/>
        <v>0</v>
      </c>
      <c r="AT93" s="214">
        <f t="shared" si="201"/>
        <v>0</v>
      </c>
      <c r="AU93" s="98"/>
      <c r="AV93" s="215">
        <f t="shared" si="202"/>
        <v>0</v>
      </c>
      <c r="AW93" s="214">
        <f t="shared" si="203"/>
        <v>0</v>
      </c>
      <c r="AX93" s="98">
        <f t="shared" si="204"/>
        <v>0</v>
      </c>
      <c r="AY93" s="204">
        <f t="shared" si="205"/>
        <v>0</v>
      </c>
      <c r="AZ93" s="214">
        <f t="shared" si="206"/>
        <v>100</v>
      </c>
      <c r="BA93" s="98">
        <f t="shared" si="207"/>
        <v>30</v>
      </c>
      <c r="BB93" s="204">
        <f t="shared" si="208"/>
        <v>1644.9</v>
      </c>
    </row>
    <row r="94" spans="1:54" s="3" customFormat="1" ht="15" customHeight="1" x14ac:dyDescent="0.2">
      <c r="A94" s="34"/>
      <c r="B94" s="45"/>
      <c r="C94" s="45"/>
      <c r="D94" s="41"/>
      <c r="E94" s="42"/>
      <c r="F94" s="37"/>
      <c r="G94" s="37"/>
      <c r="H94" s="642" t="s">
        <v>125</v>
      </c>
      <c r="I94" s="642"/>
      <c r="J94" s="642"/>
      <c r="K94" s="172">
        <f>SUM(K88:K93)</f>
        <v>34119</v>
      </c>
      <c r="L94" s="43">
        <f>SUM(L88:L93)</f>
        <v>0</v>
      </c>
      <c r="M94" s="648" t="s">
        <v>125</v>
      </c>
      <c r="N94" s="642"/>
      <c r="O94" s="172">
        <f>SUM(O88:O93)</f>
        <v>0</v>
      </c>
      <c r="P94" s="641" t="s">
        <v>125</v>
      </c>
      <c r="Q94" s="642"/>
      <c r="R94" s="172">
        <f>SUM(R88:R93)</f>
        <v>0</v>
      </c>
      <c r="S94" s="641" t="s">
        <v>125</v>
      </c>
      <c r="T94" s="642"/>
      <c r="U94" s="172">
        <f>SUM(U88:U93)</f>
        <v>0</v>
      </c>
      <c r="V94" s="641" t="s">
        <v>125</v>
      </c>
      <c r="W94" s="642"/>
      <c r="X94" s="172">
        <f>SUM(X88:X93)</f>
        <v>0</v>
      </c>
      <c r="Y94" s="641" t="s">
        <v>125</v>
      </c>
      <c r="Z94" s="642"/>
      <c r="AA94" s="172">
        <f>SUM(AA88:AA93)</f>
        <v>0</v>
      </c>
      <c r="AB94" s="641" t="s">
        <v>125</v>
      </c>
      <c r="AC94" s="642"/>
      <c r="AD94" s="172">
        <f>SUM(AD88:AD93)</f>
        <v>0</v>
      </c>
      <c r="AE94" s="641" t="s">
        <v>125</v>
      </c>
      <c r="AF94" s="642"/>
      <c r="AG94" s="172">
        <f>SUM(AG88:AG93)</f>
        <v>0</v>
      </c>
      <c r="AH94" s="641" t="s">
        <v>125</v>
      </c>
      <c r="AI94" s="642"/>
      <c r="AJ94" s="172">
        <f>SUM(AJ88:AJ93)</f>
        <v>0</v>
      </c>
      <c r="AK94" s="641" t="s">
        <v>125</v>
      </c>
      <c r="AL94" s="642"/>
      <c r="AM94" s="172">
        <f>SUM(AM88:AM93)</f>
        <v>0</v>
      </c>
      <c r="AN94" s="641" t="s">
        <v>125</v>
      </c>
      <c r="AO94" s="642"/>
      <c r="AP94" s="172">
        <f>SUM(AP88:AP93)</f>
        <v>0</v>
      </c>
      <c r="AQ94" s="641" t="s">
        <v>125</v>
      </c>
      <c r="AR94" s="642"/>
      <c r="AS94" s="172">
        <f>SUM(AS88:AS93)</f>
        <v>0</v>
      </c>
      <c r="AT94" s="641" t="s">
        <v>125</v>
      </c>
      <c r="AU94" s="642"/>
      <c r="AV94" s="173">
        <f>SUM(AV88:AV93)</f>
        <v>0</v>
      </c>
      <c r="AW94" s="641" t="s">
        <v>125</v>
      </c>
      <c r="AX94" s="642"/>
      <c r="AY94" s="43">
        <f>SUM(AY88:AY93)</f>
        <v>0</v>
      </c>
      <c r="AZ94" s="641" t="s">
        <v>125</v>
      </c>
      <c r="BA94" s="642"/>
      <c r="BB94" s="43">
        <f>SUM(BB88:BB93)</f>
        <v>34119</v>
      </c>
    </row>
    <row r="95" spans="1:54" s="3" customFormat="1" ht="15" x14ac:dyDescent="0.2">
      <c r="A95" s="34" t="s">
        <v>340</v>
      </c>
      <c r="B95" s="47"/>
      <c r="C95" s="47"/>
      <c r="D95" s="27" t="s">
        <v>341</v>
      </c>
      <c r="E95" s="42"/>
      <c r="F95" s="37"/>
      <c r="G95" s="49"/>
      <c r="H95" s="257"/>
      <c r="I95" s="49"/>
      <c r="J95" s="37"/>
      <c r="K95" s="288"/>
      <c r="L95" s="38"/>
      <c r="M95" s="213"/>
      <c r="N95" s="98"/>
      <c r="O95" s="98"/>
      <c r="P95" s="214"/>
      <c r="Q95" s="98"/>
      <c r="R95" s="98"/>
      <c r="S95" s="214"/>
      <c r="T95" s="98"/>
      <c r="U95" s="98"/>
      <c r="V95" s="214"/>
      <c r="W95" s="98"/>
      <c r="X95" s="98"/>
      <c r="Y95" s="214"/>
      <c r="Z95" s="98"/>
      <c r="AA95" s="98"/>
      <c r="AB95" s="214"/>
      <c r="AC95" s="98"/>
      <c r="AD95" s="98"/>
      <c r="AE95" s="214"/>
      <c r="AF95" s="98"/>
      <c r="AG95" s="98"/>
      <c r="AH95" s="214"/>
      <c r="AI95" s="98"/>
      <c r="AJ95" s="98"/>
      <c r="AK95" s="214"/>
      <c r="AL95" s="98"/>
      <c r="AM95" s="98"/>
      <c r="AN95" s="214"/>
      <c r="AO95" s="98"/>
      <c r="AP95" s="98"/>
      <c r="AQ95" s="214"/>
      <c r="AR95" s="98"/>
      <c r="AS95" s="98"/>
      <c r="AT95" s="214"/>
      <c r="AU95" s="98"/>
      <c r="AV95" s="215"/>
      <c r="AW95" s="214"/>
      <c r="AX95" s="98"/>
      <c r="AY95" s="204"/>
      <c r="AZ95" s="214"/>
      <c r="BA95" s="98"/>
      <c r="BB95" s="204"/>
    </row>
    <row r="96" spans="1:54" s="217" customFormat="1" ht="15" x14ac:dyDescent="0.2">
      <c r="A96" s="39" t="s">
        <v>342</v>
      </c>
      <c r="B96" s="338" t="s">
        <v>343</v>
      </c>
      <c r="C96" s="28" t="s">
        <v>344</v>
      </c>
      <c r="D96" s="58" t="s">
        <v>345</v>
      </c>
      <c r="E96" s="28" t="s">
        <v>98</v>
      </c>
      <c r="F96" s="339">
        <v>20.32</v>
      </c>
      <c r="G96" s="49">
        <f>'Quat Const.'!F90</f>
        <v>952.93</v>
      </c>
      <c r="H96" s="257">
        <f t="shared" ref="H96:H103" si="209">G96</f>
        <v>952.93</v>
      </c>
      <c r="I96" s="37">
        <f t="shared" ref="I96:I103" si="210">H96-G96</f>
        <v>0</v>
      </c>
      <c r="J96" s="37">
        <f t="shared" ref="J96:J103" si="211">ROUND((F96*(1+$K$8))*(1+$G$8),2)</f>
        <v>25.56</v>
      </c>
      <c r="K96" s="288">
        <f t="shared" ref="K96:K103" si="212">TRUNC(J96*G96,2)</f>
        <v>24356.89</v>
      </c>
      <c r="L96" s="38">
        <f t="shared" ref="L96:L103" si="213">TRUNC(J96*I96,2)</f>
        <v>0</v>
      </c>
      <c r="M96" s="213">
        <f t="shared" ref="M96:M103" si="214">N96/$H96*100</f>
        <v>0</v>
      </c>
      <c r="N96" s="98"/>
      <c r="O96" s="98">
        <f t="shared" ref="O96:O103" si="215">TRUNC(N96*$J96,2)</f>
        <v>0</v>
      </c>
      <c r="P96" s="214">
        <f t="shared" ref="P96:P103" si="216">Q96/$H96*100</f>
        <v>0</v>
      </c>
      <c r="Q96" s="98"/>
      <c r="R96" s="98">
        <f t="shared" ref="R96:R103" si="217">TRUNC(Q96*$J96,2)</f>
        <v>0</v>
      </c>
      <c r="S96" s="214">
        <f t="shared" ref="S96:S103" si="218">T96/$H96*100</f>
        <v>0</v>
      </c>
      <c r="T96" s="98"/>
      <c r="U96" s="98">
        <f t="shared" ref="U96:U103" si="219">TRUNC(T96*$J96,2)</f>
        <v>0</v>
      </c>
      <c r="V96" s="214">
        <f t="shared" ref="V96:V103" si="220">W96/$H96*100</f>
        <v>0</v>
      </c>
      <c r="W96" s="98"/>
      <c r="X96" s="98">
        <f t="shared" ref="X96:X103" si="221">TRUNC(W96*$J96,2)</f>
        <v>0</v>
      </c>
      <c r="Y96" s="214">
        <f t="shared" ref="Y96:Y103" si="222">Z96/$H96*100</f>
        <v>0</v>
      </c>
      <c r="Z96" s="98"/>
      <c r="AA96" s="98">
        <f t="shared" ref="AA96:AA103" si="223">TRUNC(Z96*$J96,2)</f>
        <v>0</v>
      </c>
      <c r="AB96" s="214">
        <f t="shared" ref="AB96:AB103" si="224">AC96/$H96*100</f>
        <v>0</v>
      </c>
      <c r="AC96" s="98"/>
      <c r="AD96" s="98">
        <f t="shared" ref="AD96:AD103" si="225">TRUNC(AC96*$J96,2)</f>
        <v>0</v>
      </c>
      <c r="AE96" s="214">
        <f t="shared" ref="AE96:AE103" si="226">AF96/$H96*100</f>
        <v>0</v>
      </c>
      <c r="AF96" s="98"/>
      <c r="AG96" s="98">
        <f t="shared" ref="AG96:AG103" si="227">TRUNC(AF96*$J96,2)</f>
        <v>0</v>
      </c>
      <c r="AH96" s="214">
        <f t="shared" ref="AH96:AH103" si="228">AI96/$H96*100</f>
        <v>0</v>
      </c>
      <c r="AI96" s="98"/>
      <c r="AJ96" s="98">
        <f t="shared" ref="AJ96:AJ103" si="229">TRUNC(AI96*$J96,2)</f>
        <v>0</v>
      </c>
      <c r="AK96" s="214">
        <f t="shared" ref="AK96:AK103" si="230">AL96/$H96*100</f>
        <v>0</v>
      </c>
      <c r="AL96" s="98"/>
      <c r="AM96" s="98">
        <f t="shared" ref="AM96:AM103" si="231">TRUNC(AL96*$J96,2)</f>
        <v>0</v>
      </c>
      <c r="AN96" s="214">
        <f t="shared" ref="AN96:AN103" si="232">AO96/$H96*100</f>
        <v>0</v>
      </c>
      <c r="AO96" s="98"/>
      <c r="AP96" s="98">
        <f t="shared" ref="AP96:AP103" si="233">TRUNC(AO96*$J96,2)</f>
        <v>0</v>
      </c>
      <c r="AQ96" s="214">
        <f t="shared" ref="AQ96:AQ103" si="234">AR96/$H96*100</f>
        <v>0</v>
      </c>
      <c r="AR96" s="98"/>
      <c r="AS96" s="98">
        <f t="shared" ref="AS96:AS103" si="235">TRUNC(AR96*$J96,2)</f>
        <v>0</v>
      </c>
      <c r="AT96" s="214">
        <f t="shared" ref="AT96:AT103" si="236">AU96/$H96*100</f>
        <v>0</v>
      </c>
      <c r="AU96" s="98"/>
      <c r="AV96" s="215">
        <f t="shared" ref="AV96:AV103" si="237">TRUNC(AU96*$J96,2)</f>
        <v>0</v>
      </c>
      <c r="AW96" s="214">
        <f t="shared" ref="AW96:AW103" si="238">AX96/$H96*100</f>
        <v>0</v>
      </c>
      <c r="AX96" s="98">
        <f t="shared" ref="AX96:AX103" si="239">Q96+N96+T96+W96+Z96+AC96+AF96+AI96+AL96+AO96+AR96+AU96</f>
        <v>0</v>
      </c>
      <c r="AY96" s="204">
        <f t="shared" ref="AY96:AY103" si="240">TRUNC(AX96*$J96,2)</f>
        <v>0</v>
      </c>
      <c r="AZ96" s="214">
        <f t="shared" ref="AZ96:AZ103" si="241">BA96/$H96*100</f>
        <v>100</v>
      </c>
      <c r="BA96" s="98">
        <f t="shared" ref="BA96:BA103" si="242">H96-AX96</f>
        <v>952.93</v>
      </c>
      <c r="BB96" s="204">
        <f t="shared" ref="BB96:BB103" si="243">TRUNC(BA96*$J96,2)</f>
        <v>24356.89</v>
      </c>
    </row>
    <row r="97" spans="1:54" s="217" customFormat="1" ht="42.75" x14ac:dyDescent="0.2">
      <c r="A97" s="39" t="s">
        <v>346</v>
      </c>
      <c r="B97" s="338" t="s">
        <v>347</v>
      </c>
      <c r="C97" s="28" t="s">
        <v>348</v>
      </c>
      <c r="D97" s="92" t="s">
        <v>349</v>
      </c>
      <c r="E97" s="28" t="s">
        <v>98</v>
      </c>
      <c r="F97" s="329">
        <v>27.99</v>
      </c>
      <c r="G97" s="49">
        <f>'Quat Const.'!F91</f>
        <v>875.19</v>
      </c>
      <c r="H97" s="257">
        <f t="shared" si="209"/>
        <v>875.19</v>
      </c>
      <c r="I97" s="37">
        <f t="shared" si="210"/>
        <v>0</v>
      </c>
      <c r="J97" s="37">
        <f t="shared" si="211"/>
        <v>35.21</v>
      </c>
      <c r="K97" s="288">
        <f t="shared" si="212"/>
        <v>30815.43</v>
      </c>
      <c r="L97" s="38">
        <f t="shared" si="213"/>
        <v>0</v>
      </c>
      <c r="M97" s="213">
        <f t="shared" si="214"/>
        <v>0</v>
      </c>
      <c r="N97" s="98"/>
      <c r="O97" s="98">
        <f t="shared" si="215"/>
        <v>0</v>
      </c>
      <c r="P97" s="214">
        <f t="shared" si="216"/>
        <v>0</v>
      </c>
      <c r="Q97" s="98"/>
      <c r="R97" s="98">
        <f t="shared" si="217"/>
        <v>0</v>
      </c>
      <c r="S97" s="214">
        <f t="shared" si="218"/>
        <v>0</v>
      </c>
      <c r="T97" s="98"/>
      <c r="U97" s="98">
        <f t="shared" si="219"/>
        <v>0</v>
      </c>
      <c r="V97" s="214">
        <f t="shared" si="220"/>
        <v>0</v>
      </c>
      <c r="W97" s="98"/>
      <c r="X97" s="98">
        <f t="shared" si="221"/>
        <v>0</v>
      </c>
      <c r="Y97" s="214">
        <f t="shared" si="222"/>
        <v>0</v>
      </c>
      <c r="Z97" s="98"/>
      <c r="AA97" s="98">
        <f t="shared" si="223"/>
        <v>0</v>
      </c>
      <c r="AB97" s="214">
        <f t="shared" si="224"/>
        <v>0</v>
      </c>
      <c r="AC97" s="98"/>
      <c r="AD97" s="98">
        <f t="shared" si="225"/>
        <v>0</v>
      </c>
      <c r="AE97" s="214">
        <f t="shared" si="226"/>
        <v>0</v>
      </c>
      <c r="AF97" s="98"/>
      <c r="AG97" s="98">
        <f t="shared" si="227"/>
        <v>0</v>
      </c>
      <c r="AH97" s="214">
        <f t="shared" si="228"/>
        <v>0</v>
      </c>
      <c r="AI97" s="98"/>
      <c r="AJ97" s="98">
        <f t="shared" si="229"/>
        <v>0</v>
      </c>
      <c r="AK97" s="214">
        <f t="shared" si="230"/>
        <v>0</v>
      </c>
      <c r="AL97" s="98"/>
      <c r="AM97" s="98">
        <f t="shared" si="231"/>
        <v>0</v>
      </c>
      <c r="AN97" s="214">
        <f t="shared" si="232"/>
        <v>0</v>
      </c>
      <c r="AO97" s="98"/>
      <c r="AP97" s="98">
        <f t="shared" si="233"/>
        <v>0</v>
      </c>
      <c r="AQ97" s="214">
        <f t="shared" si="234"/>
        <v>0</v>
      </c>
      <c r="AR97" s="98"/>
      <c r="AS97" s="98">
        <f t="shared" si="235"/>
        <v>0</v>
      </c>
      <c r="AT97" s="214">
        <f t="shared" si="236"/>
        <v>0</v>
      </c>
      <c r="AU97" s="98"/>
      <c r="AV97" s="215">
        <f t="shared" si="237"/>
        <v>0</v>
      </c>
      <c r="AW97" s="214">
        <f t="shared" si="238"/>
        <v>0</v>
      </c>
      <c r="AX97" s="98">
        <f t="shared" si="239"/>
        <v>0</v>
      </c>
      <c r="AY97" s="204">
        <f t="shared" si="240"/>
        <v>0</v>
      </c>
      <c r="AZ97" s="214">
        <f t="shared" si="241"/>
        <v>100</v>
      </c>
      <c r="BA97" s="98">
        <f t="shared" si="242"/>
        <v>875.19</v>
      </c>
      <c r="BB97" s="204">
        <f t="shared" si="243"/>
        <v>30815.43</v>
      </c>
    </row>
    <row r="98" spans="1:54" s="217" customFormat="1" ht="28.5" x14ac:dyDescent="0.2">
      <c r="A98" s="39" t="s">
        <v>350</v>
      </c>
      <c r="B98" s="338" t="s">
        <v>351</v>
      </c>
      <c r="C98" s="28" t="s">
        <v>352</v>
      </c>
      <c r="D98" s="50" t="s">
        <v>353</v>
      </c>
      <c r="E98" s="28" t="s">
        <v>275</v>
      </c>
      <c r="F98" s="329">
        <v>14.33</v>
      </c>
      <c r="G98" s="49">
        <f>'Quat Const.'!F92</f>
        <v>479.44</v>
      </c>
      <c r="H98" s="257">
        <f>G98</f>
        <v>479.44</v>
      </c>
      <c r="I98" s="37">
        <f>H98-G98</f>
        <v>0</v>
      </c>
      <c r="J98" s="37">
        <f>ROUND((F98*(1+$K$8))*(1+$G$8),2)</f>
        <v>18.03</v>
      </c>
      <c r="K98" s="288">
        <f>TRUNC(J98*G98,2)</f>
        <v>8644.2999999999993</v>
      </c>
      <c r="L98" s="38">
        <f>TRUNC(J98*I98,2)</f>
        <v>0</v>
      </c>
      <c r="M98" s="213">
        <f>N98/$H98*100</f>
        <v>0</v>
      </c>
      <c r="N98" s="98"/>
      <c r="O98" s="98">
        <f>TRUNC(N98*$J98,2)</f>
        <v>0</v>
      </c>
      <c r="P98" s="214">
        <f>Q98/$H98*100</f>
        <v>0</v>
      </c>
      <c r="Q98" s="98"/>
      <c r="R98" s="98">
        <f>TRUNC(Q98*$J98,2)</f>
        <v>0</v>
      </c>
      <c r="S98" s="214">
        <f>T98/$H98*100</f>
        <v>0</v>
      </c>
      <c r="T98" s="98"/>
      <c r="U98" s="98">
        <f>TRUNC(T98*$J98,2)</f>
        <v>0</v>
      </c>
      <c r="V98" s="214">
        <f>W98/$H98*100</f>
        <v>0</v>
      </c>
      <c r="W98" s="98"/>
      <c r="X98" s="98">
        <f>TRUNC(W98*$J98,2)</f>
        <v>0</v>
      </c>
      <c r="Y98" s="214">
        <f>Z98/$H98*100</f>
        <v>0</v>
      </c>
      <c r="Z98" s="98"/>
      <c r="AA98" s="98">
        <f>TRUNC(Z98*$J98,2)</f>
        <v>0</v>
      </c>
      <c r="AB98" s="214">
        <f>AC98/$H98*100</f>
        <v>0</v>
      </c>
      <c r="AC98" s="98"/>
      <c r="AD98" s="98">
        <f>TRUNC(AC98*$J98,2)</f>
        <v>0</v>
      </c>
      <c r="AE98" s="214">
        <f>AF98/$H98*100</f>
        <v>0</v>
      </c>
      <c r="AF98" s="98"/>
      <c r="AG98" s="98">
        <f>TRUNC(AF98*$J98,2)</f>
        <v>0</v>
      </c>
      <c r="AH98" s="214">
        <f>AI98/$H98*100</f>
        <v>0</v>
      </c>
      <c r="AI98" s="98"/>
      <c r="AJ98" s="98">
        <f>TRUNC(AI98*$J98,2)</f>
        <v>0</v>
      </c>
      <c r="AK98" s="214">
        <f>AL98/$H98*100</f>
        <v>0</v>
      </c>
      <c r="AL98" s="98"/>
      <c r="AM98" s="98">
        <f>TRUNC(AL98*$J98,2)</f>
        <v>0</v>
      </c>
      <c r="AN98" s="214">
        <f>AO98/$H98*100</f>
        <v>0</v>
      </c>
      <c r="AO98" s="98"/>
      <c r="AP98" s="98">
        <f>TRUNC(AO98*$J98,2)</f>
        <v>0</v>
      </c>
      <c r="AQ98" s="214">
        <f>AR98/$H98*100</f>
        <v>0</v>
      </c>
      <c r="AR98" s="98"/>
      <c r="AS98" s="98">
        <f>TRUNC(AR98*$J98,2)</f>
        <v>0</v>
      </c>
      <c r="AT98" s="214">
        <f>AU98/$H98*100</f>
        <v>0</v>
      </c>
      <c r="AU98" s="98"/>
      <c r="AV98" s="215">
        <f>TRUNC(AU98*$J98,2)</f>
        <v>0</v>
      </c>
      <c r="AW98" s="214">
        <f>AX98/$H98*100</f>
        <v>0</v>
      </c>
      <c r="AX98" s="98">
        <f>Q98+N98+T98+W98+Z98+AC98+AF98+AI98+AL98+AO98+AR98+AU98</f>
        <v>0</v>
      </c>
      <c r="AY98" s="204">
        <f>TRUNC(AX98*$J98,2)</f>
        <v>0</v>
      </c>
      <c r="AZ98" s="214">
        <f>BA98/$H98*100</f>
        <v>100</v>
      </c>
      <c r="BA98" s="98">
        <f>H98-AX98</f>
        <v>479.44</v>
      </c>
      <c r="BB98" s="204">
        <f>TRUNC(BA98*$J98,2)</f>
        <v>8644.2999999999993</v>
      </c>
    </row>
    <row r="99" spans="1:54" s="217" customFormat="1" ht="28.5" x14ac:dyDescent="0.2">
      <c r="A99" s="39" t="s">
        <v>354</v>
      </c>
      <c r="B99" s="338" t="s">
        <v>355</v>
      </c>
      <c r="C99" s="28" t="s">
        <v>356</v>
      </c>
      <c r="D99" s="50" t="s">
        <v>357</v>
      </c>
      <c r="E99" s="28" t="s">
        <v>98</v>
      </c>
      <c r="F99" s="329">
        <v>15.46</v>
      </c>
      <c r="G99" s="49">
        <f>'Quat Const.'!F93</f>
        <v>77.739999999999995</v>
      </c>
      <c r="H99" s="257">
        <f t="shared" si="209"/>
        <v>77.739999999999995</v>
      </c>
      <c r="I99" s="37">
        <f t="shared" si="210"/>
        <v>0</v>
      </c>
      <c r="J99" s="37">
        <f t="shared" si="211"/>
        <v>19.45</v>
      </c>
      <c r="K99" s="288">
        <f t="shared" si="212"/>
        <v>1512.04</v>
      </c>
      <c r="L99" s="38">
        <f t="shared" si="213"/>
        <v>0</v>
      </c>
      <c r="M99" s="213">
        <f t="shared" si="214"/>
        <v>0</v>
      </c>
      <c r="N99" s="98"/>
      <c r="O99" s="98">
        <f t="shared" si="215"/>
        <v>0</v>
      </c>
      <c r="P99" s="214">
        <f t="shared" si="216"/>
        <v>0</v>
      </c>
      <c r="Q99" s="98"/>
      <c r="R99" s="98">
        <f t="shared" si="217"/>
        <v>0</v>
      </c>
      <c r="S99" s="214">
        <f t="shared" si="218"/>
        <v>0</v>
      </c>
      <c r="T99" s="98"/>
      <c r="U99" s="98">
        <f t="shared" si="219"/>
        <v>0</v>
      </c>
      <c r="V99" s="214">
        <f t="shared" si="220"/>
        <v>0</v>
      </c>
      <c r="W99" s="98"/>
      <c r="X99" s="98">
        <f t="shared" si="221"/>
        <v>0</v>
      </c>
      <c r="Y99" s="214">
        <f t="shared" si="222"/>
        <v>0</v>
      </c>
      <c r="Z99" s="98"/>
      <c r="AA99" s="98">
        <f t="shared" si="223"/>
        <v>0</v>
      </c>
      <c r="AB99" s="214">
        <f t="shared" si="224"/>
        <v>0</v>
      </c>
      <c r="AC99" s="98"/>
      <c r="AD99" s="98">
        <f t="shared" si="225"/>
        <v>0</v>
      </c>
      <c r="AE99" s="214">
        <f t="shared" si="226"/>
        <v>0</v>
      </c>
      <c r="AF99" s="98"/>
      <c r="AG99" s="98">
        <f t="shared" si="227"/>
        <v>0</v>
      </c>
      <c r="AH99" s="214">
        <f t="shared" si="228"/>
        <v>0</v>
      </c>
      <c r="AI99" s="98"/>
      <c r="AJ99" s="98">
        <f t="shared" si="229"/>
        <v>0</v>
      </c>
      <c r="AK99" s="214">
        <f t="shared" si="230"/>
        <v>0</v>
      </c>
      <c r="AL99" s="98"/>
      <c r="AM99" s="98">
        <f t="shared" si="231"/>
        <v>0</v>
      </c>
      <c r="AN99" s="214">
        <f t="shared" si="232"/>
        <v>0</v>
      </c>
      <c r="AO99" s="98"/>
      <c r="AP99" s="98">
        <f t="shared" si="233"/>
        <v>0</v>
      </c>
      <c r="AQ99" s="214">
        <f t="shared" si="234"/>
        <v>0</v>
      </c>
      <c r="AR99" s="98"/>
      <c r="AS99" s="98">
        <f t="shared" si="235"/>
        <v>0</v>
      </c>
      <c r="AT99" s="214">
        <f t="shared" si="236"/>
        <v>0</v>
      </c>
      <c r="AU99" s="98"/>
      <c r="AV99" s="215">
        <f t="shared" si="237"/>
        <v>0</v>
      </c>
      <c r="AW99" s="214">
        <f t="shared" si="238"/>
        <v>0</v>
      </c>
      <c r="AX99" s="98">
        <f t="shared" si="239"/>
        <v>0</v>
      </c>
      <c r="AY99" s="204">
        <f t="shared" si="240"/>
        <v>0</v>
      </c>
      <c r="AZ99" s="214">
        <f t="shared" si="241"/>
        <v>100</v>
      </c>
      <c r="BA99" s="98">
        <f t="shared" si="242"/>
        <v>77.739999999999995</v>
      </c>
      <c r="BB99" s="204">
        <f t="shared" si="243"/>
        <v>1512.04</v>
      </c>
    </row>
    <row r="100" spans="1:54" s="217" customFormat="1" ht="43.5" x14ac:dyDescent="0.2">
      <c r="A100" s="39" t="s">
        <v>358</v>
      </c>
      <c r="B100" s="338" t="s">
        <v>359</v>
      </c>
      <c r="C100" s="28" t="s">
        <v>360</v>
      </c>
      <c r="D100" s="33" t="s">
        <v>361</v>
      </c>
      <c r="E100" s="28" t="s">
        <v>98</v>
      </c>
      <c r="F100" s="329">
        <v>44.74</v>
      </c>
      <c r="G100" s="49">
        <f>'Quat Const.'!F94</f>
        <v>77.739999999999995</v>
      </c>
      <c r="H100" s="257">
        <f t="shared" si="209"/>
        <v>77.739999999999995</v>
      </c>
      <c r="I100" s="37">
        <f>H100-G100</f>
        <v>0</v>
      </c>
      <c r="J100" s="37">
        <f>ROUND((F100*(1+$K$8))*(1+$G$8),2)</f>
        <v>56.29</v>
      </c>
      <c r="K100" s="288">
        <f>TRUNC(J100*G100,2)</f>
        <v>4375.9799999999996</v>
      </c>
      <c r="L100" s="38">
        <f>TRUNC(J100*I100,2)</f>
        <v>0</v>
      </c>
      <c r="M100" s="213">
        <f t="shared" si="214"/>
        <v>0</v>
      </c>
      <c r="N100" s="98"/>
      <c r="O100" s="98">
        <f t="shared" si="215"/>
        <v>0</v>
      </c>
      <c r="P100" s="214">
        <f t="shared" si="216"/>
        <v>0</v>
      </c>
      <c r="Q100" s="98"/>
      <c r="R100" s="98">
        <f t="shared" si="217"/>
        <v>0</v>
      </c>
      <c r="S100" s="214">
        <f t="shared" si="218"/>
        <v>0</v>
      </c>
      <c r="T100" s="98"/>
      <c r="U100" s="98">
        <f t="shared" si="219"/>
        <v>0</v>
      </c>
      <c r="V100" s="214">
        <f t="shared" si="220"/>
        <v>0</v>
      </c>
      <c r="W100" s="98"/>
      <c r="X100" s="98">
        <f t="shared" si="221"/>
        <v>0</v>
      </c>
      <c r="Y100" s="214">
        <f t="shared" si="222"/>
        <v>0</v>
      </c>
      <c r="Z100" s="98"/>
      <c r="AA100" s="98">
        <f t="shared" si="223"/>
        <v>0</v>
      </c>
      <c r="AB100" s="214">
        <f t="shared" si="224"/>
        <v>0</v>
      </c>
      <c r="AC100" s="98"/>
      <c r="AD100" s="98">
        <f t="shared" si="225"/>
        <v>0</v>
      </c>
      <c r="AE100" s="214">
        <f t="shared" si="226"/>
        <v>0</v>
      </c>
      <c r="AF100" s="98"/>
      <c r="AG100" s="98">
        <f t="shared" si="227"/>
        <v>0</v>
      </c>
      <c r="AH100" s="214">
        <f t="shared" si="228"/>
        <v>0</v>
      </c>
      <c r="AI100" s="98"/>
      <c r="AJ100" s="98">
        <f t="shared" si="229"/>
        <v>0</v>
      </c>
      <c r="AK100" s="214">
        <f t="shared" si="230"/>
        <v>0</v>
      </c>
      <c r="AL100" s="98"/>
      <c r="AM100" s="98">
        <f t="shared" si="231"/>
        <v>0</v>
      </c>
      <c r="AN100" s="214">
        <f t="shared" si="232"/>
        <v>0</v>
      </c>
      <c r="AO100" s="98"/>
      <c r="AP100" s="98">
        <f t="shared" si="233"/>
        <v>0</v>
      </c>
      <c r="AQ100" s="214">
        <f t="shared" si="234"/>
        <v>0</v>
      </c>
      <c r="AR100" s="98"/>
      <c r="AS100" s="98">
        <f t="shared" si="235"/>
        <v>0</v>
      </c>
      <c r="AT100" s="214">
        <f t="shared" si="236"/>
        <v>0</v>
      </c>
      <c r="AU100" s="98"/>
      <c r="AV100" s="215">
        <f t="shared" si="237"/>
        <v>0</v>
      </c>
      <c r="AW100" s="214">
        <f t="shared" si="238"/>
        <v>0</v>
      </c>
      <c r="AX100" s="98">
        <f>Q100+N100+T100+W100+Z100+AC100+AF100+AI100+AL100+AO100+AR100+AU100</f>
        <v>0</v>
      </c>
      <c r="AY100" s="204">
        <f t="shared" si="240"/>
        <v>0</v>
      </c>
      <c r="AZ100" s="214">
        <f t="shared" si="241"/>
        <v>100</v>
      </c>
      <c r="BA100" s="98">
        <f>H100-AX100</f>
        <v>77.739999999999995</v>
      </c>
      <c r="BB100" s="204">
        <f t="shared" si="243"/>
        <v>4375.9799999999996</v>
      </c>
    </row>
    <row r="101" spans="1:54" s="217" customFormat="1" ht="28.5" x14ac:dyDescent="0.2">
      <c r="A101" s="39" t="s">
        <v>362</v>
      </c>
      <c r="B101" s="338" t="s">
        <v>363</v>
      </c>
      <c r="C101" s="28" t="s">
        <v>364</v>
      </c>
      <c r="D101" s="50" t="s">
        <v>365</v>
      </c>
      <c r="E101" s="28" t="s">
        <v>98</v>
      </c>
      <c r="F101" s="329">
        <v>2.0699999999999998</v>
      </c>
      <c r="G101" s="49">
        <f>'Quat Const.'!F95</f>
        <v>77.739999999999995</v>
      </c>
      <c r="H101" s="257">
        <f t="shared" si="209"/>
        <v>77.739999999999995</v>
      </c>
      <c r="I101" s="37">
        <f>H101-G101</f>
        <v>0</v>
      </c>
      <c r="J101" s="37">
        <f>ROUND((F101*(1+$K$8))*(1+$G$8),2)</f>
        <v>2.6</v>
      </c>
      <c r="K101" s="288">
        <f>TRUNC(J101*G101,2)</f>
        <v>202.12</v>
      </c>
      <c r="L101" s="38">
        <f>TRUNC(J101*I101,2)</f>
        <v>0</v>
      </c>
      <c r="M101" s="213">
        <f>N101/$H101*100</f>
        <v>0</v>
      </c>
      <c r="N101" s="98"/>
      <c r="O101" s="98">
        <f t="shared" si="215"/>
        <v>0</v>
      </c>
      <c r="P101" s="214">
        <f>Q101/$H101*100</f>
        <v>0</v>
      </c>
      <c r="Q101" s="98"/>
      <c r="R101" s="98">
        <f t="shared" si="217"/>
        <v>0</v>
      </c>
      <c r="S101" s="214">
        <f>T101/$H101*100</f>
        <v>0</v>
      </c>
      <c r="T101" s="98"/>
      <c r="U101" s="98">
        <f t="shared" si="219"/>
        <v>0</v>
      </c>
      <c r="V101" s="214">
        <f>W101/$H101*100</f>
        <v>0</v>
      </c>
      <c r="W101" s="98"/>
      <c r="X101" s="98">
        <f t="shared" si="221"/>
        <v>0</v>
      </c>
      <c r="Y101" s="214">
        <f>Z101/$H101*100</f>
        <v>0</v>
      </c>
      <c r="Z101" s="98"/>
      <c r="AA101" s="98">
        <f t="shared" si="223"/>
        <v>0</v>
      </c>
      <c r="AB101" s="214">
        <f>AC101/$H101*100</f>
        <v>0</v>
      </c>
      <c r="AC101" s="98"/>
      <c r="AD101" s="98">
        <f t="shared" si="225"/>
        <v>0</v>
      </c>
      <c r="AE101" s="214">
        <f>AF101/$H101*100</f>
        <v>0</v>
      </c>
      <c r="AF101" s="98"/>
      <c r="AG101" s="98">
        <f t="shared" si="227"/>
        <v>0</v>
      </c>
      <c r="AH101" s="214">
        <f>AI101/$H101*100</f>
        <v>0</v>
      </c>
      <c r="AI101" s="98"/>
      <c r="AJ101" s="98">
        <f t="shared" si="229"/>
        <v>0</v>
      </c>
      <c r="AK101" s="214">
        <f>AL101/$H101*100</f>
        <v>0</v>
      </c>
      <c r="AL101" s="98"/>
      <c r="AM101" s="98">
        <f t="shared" si="231"/>
        <v>0</v>
      </c>
      <c r="AN101" s="214">
        <f>AO101/$H101*100</f>
        <v>0</v>
      </c>
      <c r="AO101" s="98"/>
      <c r="AP101" s="98">
        <f t="shared" si="233"/>
        <v>0</v>
      </c>
      <c r="AQ101" s="214">
        <f>AR101/$H101*100</f>
        <v>0</v>
      </c>
      <c r="AR101" s="98"/>
      <c r="AS101" s="98">
        <f t="shared" si="235"/>
        <v>0</v>
      </c>
      <c r="AT101" s="214">
        <f>AU101/$H101*100</f>
        <v>0</v>
      </c>
      <c r="AU101" s="98"/>
      <c r="AV101" s="215">
        <f t="shared" si="237"/>
        <v>0</v>
      </c>
      <c r="AW101" s="214">
        <f>AX101/$H101*100</f>
        <v>0</v>
      </c>
      <c r="AX101" s="98">
        <f>Q101+N101+T101+W101+Z101+AC101+AF101+AI101+AL101+AO101+AR101+AU101</f>
        <v>0</v>
      </c>
      <c r="AY101" s="204">
        <f t="shared" si="240"/>
        <v>0</v>
      </c>
      <c r="AZ101" s="214">
        <f>BA101/$H101*100</f>
        <v>100</v>
      </c>
      <c r="BA101" s="98">
        <f>H101-AX101</f>
        <v>77.739999999999995</v>
      </c>
      <c r="BB101" s="204">
        <f t="shared" si="243"/>
        <v>202.12</v>
      </c>
    </row>
    <row r="102" spans="1:54" s="217" customFormat="1" ht="28.5" x14ac:dyDescent="0.2">
      <c r="A102" s="39" t="s">
        <v>366</v>
      </c>
      <c r="B102" s="338" t="s">
        <v>367</v>
      </c>
      <c r="C102" s="28" t="s">
        <v>368</v>
      </c>
      <c r="D102" s="33" t="s">
        <v>369</v>
      </c>
      <c r="E102" s="28" t="s">
        <v>275</v>
      </c>
      <c r="F102" s="329">
        <v>10.79</v>
      </c>
      <c r="G102" s="49">
        <f>'Quat Const.'!F96</f>
        <v>35</v>
      </c>
      <c r="H102" s="257">
        <f t="shared" si="209"/>
        <v>35</v>
      </c>
      <c r="I102" s="37">
        <f>H102-G102</f>
        <v>0</v>
      </c>
      <c r="J102" s="37">
        <f>ROUND((F102*(1+$K$8))*(1+$G$8),2)</f>
        <v>13.57</v>
      </c>
      <c r="K102" s="288">
        <f>TRUNC(J102*G102,2)</f>
        <v>474.95</v>
      </c>
      <c r="L102" s="38">
        <f>TRUNC(J102*I102,2)</f>
        <v>0</v>
      </c>
      <c r="M102" s="213">
        <f>N102/$H102*100</f>
        <v>0</v>
      </c>
      <c r="N102" s="98"/>
      <c r="O102" s="98">
        <f t="shared" si="215"/>
        <v>0</v>
      </c>
      <c r="P102" s="214">
        <f>Q102/$H102*100</f>
        <v>0</v>
      </c>
      <c r="Q102" s="98"/>
      <c r="R102" s="98">
        <f t="shared" si="217"/>
        <v>0</v>
      </c>
      <c r="S102" s="214">
        <f>T102/$H102*100</f>
        <v>0</v>
      </c>
      <c r="T102" s="98"/>
      <c r="U102" s="98">
        <f t="shared" si="219"/>
        <v>0</v>
      </c>
      <c r="V102" s="214">
        <f>W102/$H102*100</f>
        <v>0</v>
      </c>
      <c r="W102" s="98"/>
      <c r="X102" s="98">
        <f t="shared" si="221"/>
        <v>0</v>
      </c>
      <c r="Y102" s="214">
        <f>Z102/$H102*100</f>
        <v>0</v>
      </c>
      <c r="Z102" s="98"/>
      <c r="AA102" s="98">
        <f t="shared" si="223"/>
        <v>0</v>
      </c>
      <c r="AB102" s="214">
        <f>AC102/$H102*100</f>
        <v>0</v>
      </c>
      <c r="AC102" s="98"/>
      <c r="AD102" s="98">
        <f t="shared" si="225"/>
        <v>0</v>
      </c>
      <c r="AE102" s="214">
        <f>AF102/$H102*100</f>
        <v>0</v>
      </c>
      <c r="AF102" s="98"/>
      <c r="AG102" s="98">
        <f t="shared" si="227"/>
        <v>0</v>
      </c>
      <c r="AH102" s="214">
        <f>AI102/$H102*100</f>
        <v>0</v>
      </c>
      <c r="AI102" s="98"/>
      <c r="AJ102" s="98">
        <f t="shared" si="229"/>
        <v>0</v>
      </c>
      <c r="AK102" s="214">
        <f>AL102/$H102*100</f>
        <v>0</v>
      </c>
      <c r="AL102" s="98"/>
      <c r="AM102" s="98">
        <f t="shared" si="231"/>
        <v>0</v>
      </c>
      <c r="AN102" s="214">
        <f>AO102/$H102*100</f>
        <v>0</v>
      </c>
      <c r="AO102" s="98"/>
      <c r="AP102" s="98">
        <f t="shared" si="233"/>
        <v>0</v>
      </c>
      <c r="AQ102" s="214">
        <f>AR102/$H102*100</f>
        <v>0</v>
      </c>
      <c r="AR102" s="98"/>
      <c r="AS102" s="98">
        <f t="shared" si="235"/>
        <v>0</v>
      </c>
      <c r="AT102" s="214">
        <f>AU102/$H102*100</f>
        <v>0</v>
      </c>
      <c r="AU102" s="98"/>
      <c r="AV102" s="215">
        <f t="shared" si="237"/>
        <v>0</v>
      </c>
      <c r="AW102" s="214">
        <f>AX102/$H102*100</f>
        <v>0</v>
      </c>
      <c r="AX102" s="98">
        <f>Q102+N102+T102+W102+Z102+AC102+AF102+AI102+AL102+AO102+AR102+AU102</f>
        <v>0</v>
      </c>
      <c r="AY102" s="204">
        <f t="shared" si="240"/>
        <v>0</v>
      </c>
      <c r="AZ102" s="214">
        <f>BA102/$H102*100</f>
        <v>100</v>
      </c>
      <c r="BA102" s="98">
        <f>H102-AX102</f>
        <v>35</v>
      </c>
      <c r="BB102" s="204">
        <f t="shared" si="243"/>
        <v>474.95</v>
      </c>
    </row>
    <row r="103" spans="1:54" s="217" customFormat="1" ht="28.5" x14ac:dyDescent="0.2">
      <c r="A103" s="39" t="s">
        <v>370</v>
      </c>
      <c r="B103" s="338" t="s">
        <v>371</v>
      </c>
      <c r="C103" s="28" t="s">
        <v>372</v>
      </c>
      <c r="D103" s="50" t="s">
        <v>373</v>
      </c>
      <c r="E103" s="28" t="s">
        <v>98</v>
      </c>
      <c r="F103" s="329">
        <v>9.8000000000000007</v>
      </c>
      <c r="G103" s="49">
        <f>'Quat Const.'!F97</f>
        <v>431.1</v>
      </c>
      <c r="H103" s="257">
        <f t="shared" si="209"/>
        <v>431.1</v>
      </c>
      <c r="I103" s="37">
        <f t="shared" si="210"/>
        <v>0</v>
      </c>
      <c r="J103" s="37">
        <f t="shared" si="211"/>
        <v>12.33</v>
      </c>
      <c r="K103" s="288">
        <f t="shared" si="212"/>
        <v>5315.46</v>
      </c>
      <c r="L103" s="38">
        <f t="shared" si="213"/>
        <v>0</v>
      </c>
      <c r="M103" s="213">
        <f t="shared" si="214"/>
        <v>0</v>
      </c>
      <c r="N103" s="98"/>
      <c r="O103" s="98">
        <f t="shared" si="215"/>
        <v>0</v>
      </c>
      <c r="P103" s="214">
        <f t="shared" si="216"/>
        <v>0</v>
      </c>
      <c r="Q103" s="98"/>
      <c r="R103" s="98">
        <f t="shared" si="217"/>
        <v>0</v>
      </c>
      <c r="S103" s="214">
        <f t="shared" si="218"/>
        <v>0</v>
      </c>
      <c r="T103" s="98"/>
      <c r="U103" s="98">
        <f t="shared" si="219"/>
        <v>0</v>
      </c>
      <c r="V103" s="214">
        <f t="shared" si="220"/>
        <v>0</v>
      </c>
      <c r="W103" s="98"/>
      <c r="X103" s="98">
        <f t="shared" si="221"/>
        <v>0</v>
      </c>
      <c r="Y103" s="214">
        <f t="shared" si="222"/>
        <v>0</v>
      </c>
      <c r="Z103" s="98"/>
      <c r="AA103" s="98">
        <f t="shared" si="223"/>
        <v>0</v>
      </c>
      <c r="AB103" s="214">
        <f t="shared" si="224"/>
        <v>0</v>
      </c>
      <c r="AC103" s="98"/>
      <c r="AD103" s="98">
        <f t="shared" si="225"/>
        <v>0</v>
      </c>
      <c r="AE103" s="214">
        <f t="shared" si="226"/>
        <v>0</v>
      </c>
      <c r="AF103" s="98"/>
      <c r="AG103" s="98">
        <f t="shared" si="227"/>
        <v>0</v>
      </c>
      <c r="AH103" s="214">
        <f t="shared" si="228"/>
        <v>0</v>
      </c>
      <c r="AI103" s="98"/>
      <c r="AJ103" s="98">
        <f t="shared" si="229"/>
        <v>0</v>
      </c>
      <c r="AK103" s="214">
        <f t="shared" si="230"/>
        <v>0</v>
      </c>
      <c r="AL103" s="98"/>
      <c r="AM103" s="98">
        <f t="shared" si="231"/>
        <v>0</v>
      </c>
      <c r="AN103" s="214">
        <f t="shared" si="232"/>
        <v>0</v>
      </c>
      <c r="AO103" s="98"/>
      <c r="AP103" s="98">
        <f t="shared" si="233"/>
        <v>0</v>
      </c>
      <c r="AQ103" s="214">
        <f t="shared" si="234"/>
        <v>0</v>
      </c>
      <c r="AR103" s="98"/>
      <c r="AS103" s="98">
        <f t="shared" si="235"/>
        <v>0</v>
      </c>
      <c r="AT103" s="214">
        <f t="shared" si="236"/>
        <v>0</v>
      </c>
      <c r="AU103" s="98"/>
      <c r="AV103" s="215">
        <f t="shared" si="237"/>
        <v>0</v>
      </c>
      <c r="AW103" s="214">
        <f t="shared" si="238"/>
        <v>0</v>
      </c>
      <c r="AX103" s="98">
        <f t="shared" si="239"/>
        <v>0</v>
      </c>
      <c r="AY103" s="204">
        <f t="shared" si="240"/>
        <v>0</v>
      </c>
      <c r="AZ103" s="214">
        <f t="shared" si="241"/>
        <v>100</v>
      </c>
      <c r="BA103" s="98">
        <f t="shared" si="242"/>
        <v>431.1</v>
      </c>
      <c r="BB103" s="204">
        <f t="shared" si="243"/>
        <v>5315.46</v>
      </c>
    </row>
    <row r="104" spans="1:54" s="3" customFormat="1" ht="15" customHeight="1" x14ac:dyDescent="0.2">
      <c r="A104" s="39"/>
      <c r="B104" s="45"/>
      <c r="C104" s="45"/>
      <c r="D104" s="41"/>
      <c r="E104" s="42"/>
      <c r="F104" s="37"/>
      <c r="G104" s="37"/>
      <c r="H104" s="642" t="s">
        <v>125</v>
      </c>
      <c r="I104" s="642"/>
      <c r="J104" s="642"/>
      <c r="K104" s="172">
        <f>SUM(K96:K103)</f>
        <v>75697.17</v>
      </c>
      <c r="L104" s="43">
        <f>SUM(L96:L103)</f>
        <v>0</v>
      </c>
      <c r="M104" s="648" t="s">
        <v>125</v>
      </c>
      <c r="N104" s="642"/>
      <c r="O104" s="172">
        <f>SUM(O96:O103)</f>
        <v>0</v>
      </c>
      <c r="P104" s="641" t="s">
        <v>125</v>
      </c>
      <c r="Q104" s="642"/>
      <c r="R104" s="172">
        <f>SUM(R96:R103)</f>
        <v>0</v>
      </c>
      <c r="S104" s="641" t="s">
        <v>125</v>
      </c>
      <c r="T104" s="642"/>
      <c r="U104" s="172">
        <f>SUM(U96:U103)</f>
        <v>0</v>
      </c>
      <c r="V104" s="641" t="s">
        <v>125</v>
      </c>
      <c r="W104" s="642"/>
      <c r="X104" s="172">
        <f>SUM(X96:X103)</f>
        <v>0</v>
      </c>
      <c r="Y104" s="641" t="s">
        <v>125</v>
      </c>
      <c r="Z104" s="642"/>
      <c r="AA104" s="172">
        <f>SUM(AA96:AA103)</f>
        <v>0</v>
      </c>
      <c r="AB104" s="641" t="s">
        <v>125</v>
      </c>
      <c r="AC104" s="642"/>
      <c r="AD104" s="172">
        <f>SUM(AD96:AD103)</f>
        <v>0</v>
      </c>
      <c r="AE104" s="641" t="s">
        <v>125</v>
      </c>
      <c r="AF104" s="642"/>
      <c r="AG104" s="172">
        <f>SUM(AG96:AG103)</f>
        <v>0</v>
      </c>
      <c r="AH104" s="641" t="s">
        <v>125</v>
      </c>
      <c r="AI104" s="642"/>
      <c r="AJ104" s="172">
        <f>SUM(AJ96:AJ103)</f>
        <v>0</v>
      </c>
      <c r="AK104" s="641" t="s">
        <v>125</v>
      </c>
      <c r="AL104" s="642"/>
      <c r="AM104" s="172">
        <f>SUM(AM96:AM103)</f>
        <v>0</v>
      </c>
      <c r="AN104" s="641" t="s">
        <v>125</v>
      </c>
      <c r="AO104" s="642"/>
      <c r="AP104" s="172">
        <f>SUM(AP96:AP103)</f>
        <v>0</v>
      </c>
      <c r="AQ104" s="641" t="s">
        <v>125</v>
      </c>
      <c r="AR104" s="642"/>
      <c r="AS104" s="172">
        <f>SUM(AS96:AS103)</f>
        <v>0</v>
      </c>
      <c r="AT104" s="641" t="s">
        <v>125</v>
      </c>
      <c r="AU104" s="642"/>
      <c r="AV104" s="173">
        <f>SUM(AV96:AV103)</f>
        <v>0</v>
      </c>
      <c r="AW104" s="641" t="s">
        <v>125</v>
      </c>
      <c r="AX104" s="642"/>
      <c r="AY104" s="43">
        <f>SUM(AY96:AY103)</f>
        <v>0</v>
      </c>
      <c r="AZ104" s="641" t="s">
        <v>125</v>
      </c>
      <c r="BA104" s="642"/>
      <c r="BB104" s="43">
        <f>SUM(BB95:BB103)</f>
        <v>75697.17</v>
      </c>
    </row>
    <row r="105" spans="1:54" s="3" customFormat="1" ht="15" x14ac:dyDescent="0.2">
      <c r="A105" s="34" t="s">
        <v>374</v>
      </c>
      <c r="B105" s="47"/>
      <c r="C105" s="47"/>
      <c r="D105" s="27" t="s">
        <v>375</v>
      </c>
      <c r="E105" s="94"/>
      <c r="F105" s="37"/>
      <c r="G105" s="49"/>
      <c r="H105" s="257"/>
      <c r="I105" s="49"/>
      <c r="J105" s="37"/>
      <c r="K105" s="288"/>
      <c r="L105" s="38"/>
      <c r="M105" s="213"/>
      <c r="N105" s="98"/>
      <c r="O105" s="98"/>
      <c r="P105" s="214"/>
      <c r="Q105" s="98"/>
      <c r="R105" s="98"/>
      <c r="S105" s="214"/>
      <c r="T105" s="98"/>
      <c r="U105" s="98"/>
      <c r="V105" s="214"/>
      <c r="W105" s="98"/>
      <c r="X105" s="98"/>
      <c r="Y105" s="214"/>
      <c r="Z105" s="98"/>
      <c r="AA105" s="98"/>
      <c r="AB105" s="214"/>
      <c r="AC105" s="98"/>
      <c r="AD105" s="98"/>
      <c r="AE105" s="214"/>
      <c r="AF105" s="98"/>
      <c r="AG105" s="98"/>
      <c r="AH105" s="214"/>
      <c r="AI105" s="98"/>
      <c r="AJ105" s="98"/>
      <c r="AK105" s="214"/>
      <c r="AL105" s="98"/>
      <c r="AM105" s="98"/>
      <c r="AN105" s="214"/>
      <c r="AO105" s="98"/>
      <c r="AP105" s="98"/>
      <c r="AQ105" s="214"/>
      <c r="AR105" s="98"/>
      <c r="AS105" s="98"/>
      <c r="AT105" s="214"/>
      <c r="AU105" s="98"/>
      <c r="AV105" s="215"/>
      <c r="AW105" s="214"/>
      <c r="AX105" s="98"/>
      <c r="AY105" s="204"/>
      <c r="AZ105" s="214"/>
      <c r="BA105" s="98"/>
      <c r="BB105" s="204"/>
    </row>
    <row r="106" spans="1:54" s="3" customFormat="1" ht="28.5" x14ac:dyDescent="0.2">
      <c r="A106" s="39" t="s">
        <v>376</v>
      </c>
      <c r="B106" s="338" t="s">
        <v>377</v>
      </c>
      <c r="C106" s="28" t="s">
        <v>378</v>
      </c>
      <c r="D106" s="50" t="s">
        <v>379</v>
      </c>
      <c r="E106" s="28" t="s">
        <v>98</v>
      </c>
      <c r="F106" s="329">
        <v>33.9</v>
      </c>
      <c r="G106" s="37">
        <f>'Quat Const.'!F100</f>
        <v>1456.32</v>
      </c>
      <c r="H106" s="242">
        <f>G106</f>
        <v>1456.32</v>
      </c>
      <c r="I106" s="37">
        <f>H106-G106</f>
        <v>0</v>
      </c>
      <c r="J106" s="37">
        <f>ROUND((F106*(1+$K$8))*(1+$G$8),2)</f>
        <v>42.65</v>
      </c>
      <c r="K106" s="288">
        <f>TRUNC(J106*G106,2)</f>
        <v>62112.04</v>
      </c>
      <c r="L106" s="38">
        <f>TRUNC(J106*I106,2)</f>
        <v>0</v>
      </c>
      <c r="M106" s="213">
        <f>N106/$H106*100</f>
        <v>0</v>
      </c>
      <c r="N106" s="98"/>
      <c r="O106" s="98">
        <f>TRUNC(N106*$J106,2)</f>
        <v>0</v>
      </c>
      <c r="P106" s="214">
        <f>Q106/$H106*100</f>
        <v>0</v>
      </c>
      <c r="Q106" s="98"/>
      <c r="R106" s="98">
        <f>TRUNC(Q106*$J106,2)</f>
        <v>0</v>
      </c>
      <c r="S106" s="214">
        <f>T106/$H106*100</f>
        <v>0</v>
      </c>
      <c r="T106" s="98"/>
      <c r="U106" s="98">
        <f>TRUNC(T106*$J106,2)</f>
        <v>0</v>
      </c>
      <c r="V106" s="214">
        <f>W106/$H106*100</f>
        <v>0</v>
      </c>
      <c r="W106" s="98"/>
      <c r="X106" s="98">
        <f>TRUNC(W106*$J106,2)</f>
        <v>0</v>
      </c>
      <c r="Y106" s="214">
        <f>Z106/$H106*100</f>
        <v>0</v>
      </c>
      <c r="Z106" s="98"/>
      <c r="AA106" s="98">
        <f>TRUNC(Z106*$J106,2)</f>
        <v>0</v>
      </c>
      <c r="AB106" s="214">
        <f>AC106/$H106*100</f>
        <v>0</v>
      </c>
      <c r="AC106" s="98"/>
      <c r="AD106" s="98">
        <f>TRUNC(AC106*$J106,2)</f>
        <v>0</v>
      </c>
      <c r="AE106" s="214">
        <f>AF106/$H106*100</f>
        <v>0</v>
      </c>
      <c r="AF106" s="98"/>
      <c r="AG106" s="98">
        <f>TRUNC(AF106*$J106,2)</f>
        <v>0</v>
      </c>
      <c r="AH106" s="214">
        <f>AI106/$H106*100</f>
        <v>0</v>
      </c>
      <c r="AI106" s="98"/>
      <c r="AJ106" s="98">
        <f>TRUNC(AI106*$J106,2)</f>
        <v>0</v>
      </c>
      <c r="AK106" s="214">
        <f>AL106/$H106*100</f>
        <v>0</v>
      </c>
      <c r="AL106" s="98"/>
      <c r="AM106" s="98">
        <f>TRUNC(AL106*$J106,2)</f>
        <v>0</v>
      </c>
      <c r="AN106" s="214">
        <f>AO106/$H106*100</f>
        <v>0</v>
      </c>
      <c r="AO106" s="98"/>
      <c r="AP106" s="98">
        <f>TRUNC(AO106*$J106,2)</f>
        <v>0</v>
      </c>
      <c r="AQ106" s="214">
        <f>AR106/$H106*100</f>
        <v>0</v>
      </c>
      <c r="AR106" s="98"/>
      <c r="AS106" s="98">
        <f>TRUNC(AR106*$J106,2)</f>
        <v>0</v>
      </c>
      <c r="AT106" s="214">
        <f>AU106/$H106*100</f>
        <v>0</v>
      </c>
      <c r="AU106" s="98"/>
      <c r="AV106" s="215">
        <f>TRUNC(AU106*$J106,2)</f>
        <v>0</v>
      </c>
      <c r="AW106" s="214">
        <f>AX106/$H106*100</f>
        <v>0</v>
      </c>
      <c r="AX106" s="98">
        <f>Q106+N106+T106+W106+Z106+AC106+AF106+AI106+AL106+AO106+AR106+AU106</f>
        <v>0</v>
      </c>
      <c r="AY106" s="204">
        <f>TRUNC(AX106*$J106,2)</f>
        <v>0</v>
      </c>
      <c r="AZ106" s="214">
        <f>BA106/$H106*100</f>
        <v>100</v>
      </c>
      <c r="BA106" s="98">
        <f>H106-AX106</f>
        <v>1456.32</v>
      </c>
      <c r="BB106" s="204">
        <f>TRUNC(BA106*$J106,2)</f>
        <v>62112.04</v>
      </c>
    </row>
    <row r="107" spans="1:54" s="3" customFormat="1" ht="15" x14ac:dyDescent="0.2">
      <c r="A107" s="39" t="s">
        <v>380</v>
      </c>
      <c r="B107" s="338" t="s">
        <v>381</v>
      </c>
      <c r="C107" s="28" t="s">
        <v>382</v>
      </c>
      <c r="D107" s="58" t="s">
        <v>383</v>
      </c>
      <c r="E107" s="28" t="s">
        <v>98</v>
      </c>
      <c r="F107" s="329">
        <v>258.8</v>
      </c>
      <c r="G107" s="37">
        <f>'Quat Const.'!F101</f>
        <v>20.27</v>
      </c>
      <c r="H107" s="242">
        <f>G107</f>
        <v>20.27</v>
      </c>
      <c r="I107" s="37">
        <f>H107-G107</f>
        <v>0</v>
      </c>
      <c r="J107" s="37">
        <f>ROUND((F107*(1+$K$8))*(1+$G$8),2)</f>
        <v>325.60000000000002</v>
      </c>
      <c r="K107" s="288">
        <f>TRUNC(J107*G107,2)</f>
        <v>6599.91</v>
      </c>
      <c r="L107" s="38">
        <f>TRUNC(J107*I107,2)</f>
        <v>0</v>
      </c>
      <c r="M107" s="213">
        <f>N107/$H107*100</f>
        <v>0</v>
      </c>
      <c r="N107" s="98"/>
      <c r="O107" s="98">
        <f>TRUNC(N107*$J107,2)</f>
        <v>0</v>
      </c>
      <c r="P107" s="214">
        <f>Q107/$H107*100</f>
        <v>0</v>
      </c>
      <c r="Q107" s="98"/>
      <c r="R107" s="98">
        <f>TRUNC(Q107*$J107,2)</f>
        <v>0</v>
      </c>
      <c r="S107" s="214">
        <f>T107/$H107*100</f>
        <v>0</v>
      </c>
      <c r="T107" s="98"/>
      <c r="U107" s="98">
        <f>TRUNC(T107*$J107,2)</f>
        <v>0</v>
      </c>
      <c r="V107" s="214">
        <f>W107/$H107*100</f>
        <v>0</v>
      </c>
      <c r="W107" s="98"/>
      <c r="X107" s="98">
        <f>TRUNC(W107*$J107,2)</f>
        <v>0</v>
      </c>
      <c r="Y107" s="214">
        <f>Z107/$H107*100</f>
        <v>0</v>
      </c>
      <c r="Z107" s="98"/>
      <c r="AA107" s="98">
        <f>TRUNC(Z107*$J107,2)</f>
        <v>0</v>
      </c>
      <c r="AB107" s="214">
        <f>AC107/$H107*100</f>
        <v>0</v>
      </c>
      <c r="AC107" s="98"/>
      <c r="AD107" s="98">
        <f>TRUNC(AC107*$J107,2)</f>
        <v>0</v>
      </c>
      <c r="AE107" s="214">
        <f>AF107/$H107*100</f>
        <v>0</v>
      </c>
      <c r="AF107" s="98"/>
      <c r="AG107" s="98">
        <f>TRUNC(AF107*$J107,2)</f>
        <v>0</v>
      </c>
      <c r="AH107" s="214">
        <f>AI107/$H107*100</f>
        <v>0</v>
      </c>
      <c r="AI107" s="98"/>
      <c r="AJ107" s="98">
        <f>TRUNC(AI107*$J107,2)</f>
        <v>0</v>
      </c>
      <c r="AK107" s="214">
        <f>AL107/$H107*100</f>
        <v>0</v>
      </c>
      <c r="AL107" s="98"/>
      <c r="AM107" s="98">
        <f>TRUNC(AL107*$J107,2)</f>
        <v>0</v>
      </c>
      <c r="AN107" s="214">
        <f>AO107/$H107*100</f>
        <v>0</v>
      </c>
      <c r="AO107" s="98"/>
      <c r="AP107" s="98">
        <f>TRUNC(AO107*$J107,2)</f>
        <v>0</v>
      </c>
      <c r="AQ107" s="214">
        <f>AR107/$H107*100</f>
        <v>0</v>
      </c>
      <c r="AR107" s="98"/>
      <c r="AS107" s="98">
        <f>TRUNC(AR107*$J107,2)</f>
        <v>0</v>
      </c>
      <c r="AT107" s="214">
        <f>AU107/$H107*100</f>
        <v>0</v>
      </c>
      <c r="AU107" s="98"/>
      <c r="AV107" s="215">
        <f>TRUNC(AU107*$J107,2)</f>
        <v>0</v>
      </c>
      <c r="AW107" s="214">
        <f>AX107/$H107*100</f>
        <v>0</v>
      </c>
      <c r="AX107" s="98">
        <f>Q107+N107+T107+W107+Z107+AC107+AF107+AI107+AL107+AO107+AR107+AU107</f>
        <v>0</v>
      </c>
      <c r="AY107" s="204">
        <f>TRUNC(AX107*$J107,2)</f>
        <v>0</v>
      </c>
      <c r="AZ107" s="214">
        <f>BA107/$H107*100</f>
        <v>100</v>
      </c>
      <c r="BA107" s="98">
        <f>H107-AX107</f>
        <v>20.27</v>
      </c>
      <c r="BB107" s="204">
        <f>TRUNC(BA107*$J107,2)</f>
        <v>6599.91</v>
      </c>
    </row>
    <row r="108" spans="1:54" s="3" customFormat="1" ht="15" customHeight="1" x14ac:dyDescent="0.2">
      <c r="A108" s="34"/>
      <c r="B108" s="45"/>
      <c r="C108" s="45"/>
      <c r="D108" s="41"/>
      <c r="E108" s="42"/>
      <c r="F108" s="37"/>
      <c r="G108" s="37"/>
      <c r="H108" s="642" t="s">
        <v>125</v>
      </c>
      <c r="I108" s="642"/>
      <c r="J108" s="642"/>
      <c r="K108" s="172">
        <f>SUM(K105:K107)</f>
        <v>68711.95</v>
      </c>
      <c r="L108" s="43">
        <f>SUM(L105:L107)</f>
        <v>0</v>
      </c>
      <c r="M108" s="648" t="s">
        <v>125</v>
      </c>
      <c r="N108" s="642"/>
      <c r="O108" s="43">
        <f>SUM(O105:O107)</f>
        <v>0</v>
      </c>
      <c r="P108" s="642" t="s">
        <v>125</v>
      </c>
      <c r="Q108" s="642"/>
      <c r="R108" s="43">
        <f>SUM(R105:R107)</f>
        <v>0</v>
      </c>
      <c r="S108" s="642" t="s">
        <v>125</v>
      </c>
      <c r="T108" s="642"/>
      <c r="U108" s="43">
        <f>SUM(U105:U107)</f>
        <v>0</v>
      </c>
      <c r="V108" s="642" t="s">
        <v>125</v>
      </c>
      <c r="W108" s="642"/>
      <c r="X108" s="43">
        <f>SUM(X105:X107)</f>
        <v>0</v>
      </c>
      <c r="Y108" s="642" t="s">
        <v>125</v>
      </c>
      <c r="Z108" s="642"/>
      <c r="AA108" s="43">
        <f>SUM(AA105:AA107)</f>
        <v>0</v>
      </c>
      <c r="AB108" s="642" t="s">
        <v>125</v>
      </c>
      <c r="AC108" s="642"/>
      <c r="AD108" s="43">
        <f>SUM(AD105:AD107)</f>
        <v>0</v>
      </c>
      <c r="AE108" s="642" t="s">
        <v>125</v>
      </c>
      <c r="AF108" s="642"/>
      <c r="AG108" s="43">
        <f>SUM(AG105:AG107)</f>
        <v>0</v>
      </c>
      <c r="AH108" s="642" t="s">
        <v>125</v>
      </c>
      <c r="AI108" s="642"/>
      <c r="AJ108" s="43">
        <f>SUM(AJ105:AJ107)</f>
        <v>0</v>
      </c>
      <c r="AK108" s="642" t="s">
        <v>125</v>
      </c>
      <c r="AL108" s="642"/>
      <c r="AM108" s="43">
        <f>SUM(AM105:AM107)</f>
        <v>0</v>
      </c>
      <c r="AN108" s="642" t="s">
        <v>125</v>
      </c>
      <c r="AO108" s="642"/>
      <c r="AP108" s="43">
        <f>SUM(AP105:AP107)</f>
        <v>0</v>
      </c>
      <c r="AQ108" s="642" t="s">
        <v>125</v>
      </c>
      <c r="AR108" s="642"/>
      <c r="AS108" s="43">
        <f>SUM(AS105:AS107)</f>
        <v>0</v>
      </c>
      <c r="AT108" s="642" t="s">
        <v>125</v>
      </c>
      <c r="AU108" s="642"/>
      <c r="AV108" s="43">
        <f>SUM(AV105:AV107)</f>
        <v>0</v>
      </c>
      <c r="AW108" s="642" t="s">
        <v>125</v>
      </c>
      <c r="AX108" s="642"/>
      <c r="AY108" s="43">
        <f>SUM(AY105:AY107)</f>
        <v>0</v>
      </c>
      <c r="AZ108" s="642" t="s">
        <v>125</v>
      </c>
      <c r="BA108" s="642"/>
      <c r="BB108" s="43">
        <f>SUM(BB105:BB107)</f>
        <v>68711.95</v>
      </c>
    </row>
    <row r="109" spans="1:54" s="3" customFormat="1" ht="15" x14ac:dyDescent="0.2">
      <c r="A109" s="34" t="s">
        <v>384</v>
      </c>
      <c r="B109" s="47"/>
      <c r="C109" s="47"/>
      <c r="D109" s="48" t="s">
        <v>385</v>
      </c>
      <c r="E109" s="42"/>
      <c r="F109" s="37"/>
      <c r="G109" s="49"/>
      <c r="H109" s="257"/>
      <c r="I109" s="49"/>
      <c r="J109" s="37"/>
      <c r="K109" s="288"/>
      <c r="L109" s="38"/>
      <c r="M109" s="213"/>
      <c r="N109" s="98"/>
      <c r="O109" s="98"/>
      <c r="P109" s="214"/>
      <c r="Q109" s="98"/>
      <c r="R109" s="98"/>
      <c r="S109" s="214"/>
      <c r="T109" s="98"/>
      <c r="U109" s="98"/>
      <c r="V109" s="214"/>
      <c r="W109" s="98"/>
      <c r="X109" s="98"/>
      <c r="Y109" s="214"/>
      <c r="Z109" s="98"/>
      <c r="AA109" s="98"/>
      <c r="AB109" s="214"/>
      <c r="AC109" s="98"/>
      <c r="AD109" s="98"/>
      <c r="AE109" s="214"/>
      <c r="AF109" s="98"/>
      <c r="AG109" s="98"/>
      <c r="AH109" s="214"/>
      <c r="AI109" s="98"/>
      <c r="AJ109" s="98"/>
      <c r="AK109" s="214"/>
      <c r="AL109" s="98"/>
      <c r="AM109" s="98"/>
      <c r="AN109" s="214"/>
      <c r="AO109" s="98"/>
      <c r="AP109" s="98"/>
      <c r="AQ109" s="214"/>
      <c r="AR109" s="98"/>
      <c r="AS109" s="98"/>
      <c r="AT109" s="214"/>
      <c r="AU109" s="98"/>
      <c r="AV109" s="215"/>
      <c r="AW109" s="214"/>
      <c r="AX109" s="98"/>
      <c r="AY109" s="204"/>
      <c r="AZ109" s="214"/>
      <c r="BA109" s="98"/>
      <c r="BB109" s="204"/>
    </row>
    <row r="110" spans="1:54" s="3" customFormat="1" ht="28.5" x14ac:dyDescent="0.2">
      <c r="A110" s="39" t="s">
        <v>386</v>
      </c>
      <c r="B110" s="338" t="s">
        <v>387</v>
      </c>
      <c r="C110" s="28" t="s">
        <v>388</v>
      </c>
      <c r="D110" s="50" t="s">
        <v>389</v>
      </c>
      <c r="E110" s="28" t="s">
        <v>98</v>
      </c>
      <c r="F110" s="329">
        <v>58.53</v>
      </c>
      <c r="G110" s="37">
        <f>'Quat Const.'!F104</f>
        <v>101.76</v>
      </c>
      <c r="H110" s="242">
        <f>G110</f>
        <v>101.76</v>
      </c>
      <c r="I110" s="37">
        <f>H110-G110</f>
        <v>0</v>
      </c>
      <c r="J110" s="37">
        <f>ROUND((F110*(1+$K$8))*(1+$G$8),2)</f>
        <v>73.64</v>
      </c>
      <c r="K110" s="288">
        <f>TRUNC(J110*G110,2)</f>
        <v>7493.6</v>
      </c>
      <c r="L110" s="38">
        <f>TRUNC(J110*I110,2)</f>
        <v>0</v>
      </c>
      <c r="M110" s="213">
        <f>N110/$H110*100</f>
        <v>0</v>
      </c>
      <c r="N110" s="98"/>
      <c r="O110" s="98">
        <f>TRUNC(N110*$J110,2)</f>
        <v>0</v>
      </c>
      <c r="P110" s="214">
        <f>Q110/$H110*100</f>
        <v>0</v>
      </c>
      <c r="Q110" s="98"/>
      <c r="R110" s="98">
        <f>TRUNC(Q110*$J110,2)</f>
        <v>0</v>
      </c>
      <c r="S110" s="214">
        <f>T110/$H110*100</f>
        <v>0</v>
      </c>
      <c r="T110" s="98"/>
      <c r="U110" s="98">
        <f>TRUNC(T110*$J110,2)</f>
        <v>0</v>
      </c>
      <c r="V110" s="214">
        <f>W110/$H110*100</f>
        <v>0</v>
      </c>
      <c r="W110" s="98"/>
      <c r="X110" s="98">
        <f>TRUNC(W110*$J110,2)</f>
        <v>0</v>
      </c>
      <c r="Y110" s="214">
        <f>Z110/$H110*100</f>
        <v>0</v>
      </c>
      <c r="Z110" s="98"/>
      <c r="AA110" s="98">
        <f>TRUNC(Z110*$J110,2)</f>
        <v>0</v>
      </c>
      <c r="AB110" s="214">
        <f>AC110/$H110*100</f>
        <v>0</v>
      </c>
      <c r="AC110" s="98"/>
      <c r="AD110" s="98">
        <f>TRUNC(AC110*$J110,2)</f>
        <v>0</v>
      </c>
      <c r="AE110" s="214">
        <f>AF110/$H110*100</f>
        <v>0</v>
      </c>
      <c r="AF110" s="98"/>
      <c r="AG110" s="98">
        <f>TRUNC(AF110*$J110,2)</f>
        <v>0</v>
      </c>
      <c r="AH110" s="214">
        <f>AI110/$H110*100</f>
        <v>0</v>
      </c>
      <c r="AI110" s="98"/>
      <c r="AJ110" s="98">
        <f>TRUNC(AI110*$J110,2)</f>
        <v>0</v>
      </c>
      <c r="AK110" s="214">
        <f>AL110/$H110*100</f>
        <v>0</v>
      </c>
      <c r="AL110" s="98"/>
      <c r="AM110" s="98">
        <f>TRUNC(AL110*$J110,2)</f>
        <v>0</v>
      </c>
      <c r="AN110" s="214">
        <f>AO110/$H110*100</f>
        <v>0</v>
      </c>
      <c r="AO110" s="98"/>
      <c r="AP110" s="98">
        <f>TRUNC(AO110*$J110,2)</f>
        <v>0</v>
      </c>
      <c r="AQ110" s="214">
        <f>AR110/$H110*100</f>
        <v>0</v>
      </c>
      <c r="AR110" s="98"/>
      <c r="AS110" s="98">
        <f>TRUNC(AR110*$J110,2)</f>
        <v>0</v>
      </c>
      <c r="AT110" s="214">
        <f>AU110/$H110*100</f>
        <v>0</v>
      </c>
      <c r="AU110" s="98"/>
      <c r="AV110" s="215">
        <f>TRUNC(AU110*$J110,2)</f>
        <v>0</v>
      </c>
      <c r="AW110" s="214">
        <f>AX110/$H110*100</f>
        <v>0</v>
      </c>
      <c r="AX110" s="98">
        <f>Q110+N110+T110+W110+Z110+AC110+AF110+AI110+AL110+AO110+AR110+AU110</f>
        <v>0</v>
      </c>
      <c r="AY110" s="204">
        <f>TRUNC(AX110*$J110,2)</f>
        <v>0</v>
      </c>
      <c r="AZ110" s="214">
        <f>BA110/$H110*100</f>
        <v>100</v>
      </c>
      <c r="BA110" s="98">
        <f>H110-AX110</f>
        <v>101.76</v>
      </c>
      <c r="BB110" s="204">
        <f>TRUNC(BA110*$J110,2)</f>
        <v>7493.6</v>
      </c>
    </row>
    <row r="111" spans="1:54" s="3" customFormat="1" ht="15" customHeight="1" x14ac:dyDescent="0.2">
      <c r="A111" s="34"/>
      <c r="B111" s="45"/>
      <c r="C111" s="45"/>
      <c r="D111" s="41"/>
      <c r="E111" s="42"/>
      <c r="F111" s="37"/>
      <c r="G111" s="37"/>
      <c r="H111" s="642" t="s">
        <v>125</v>
      </c>
      <c r="I111" s="642"/>
      <c r="J111" s="642"/>
      <c r="K111" s="172">
        <f>SUM(K109:K110)</f>
        <v>7493.6</v>
      </c>
      <c r="L111" s="43">
        <f>SUM(L109:L110)</f>
        <v>0</v>
      </c>
      <c r="M111" s="648" t="s">
        <v>125</v>
      </c>
      <c r="N111" s="642"/>
      <c r="O111" s="43">
        <f>SUM(O109:O110)</f>
        <v>0</v>
      </c>
      <c r="P111" s="642" t="s">
        <v>125</v>
      </c>
      <c r="Q111" s="642"/>
      <c r="R111" s="43">
        <f>SUM(R109:R110)</f>
        <v>0</v>
      </c>
      <c r="S111" s="642" t="s">
        <v>125</v>
      </c>
      <c r="T111" s="642"/>
      <c r="U111" s="43">
        <f>SUM(U109:U110)</f>
        <v>0</v>
      </c>
      <c r="V111" s="642" t="s">
        <v>125</v>
      </c>
      <c r="W111" s="642"/>
      <c r="X111" s="43">
        <f>SUM(X109:X110)</f>
        <v>0</v>
      </c>
      <c r="Y111" s="642" t="s">
        <v>125</v>
      </c>
      <c r="Z111" s="642"/>
      <c r="AA111" s="43">
        <f>SUM(AA109:AA110)</f>
        <v>0</v>
      </c>
      <c r="AB111" s="642" t="s">
        <v>125</v>
      </c>
      <c r="AC111" s="642"/>
      <c r="AD111" s="43">
        <f>SUM(AD109:AD110)</f>
        <v>0</v>
      </c>
      <c r="AE111" s="642" t="s">
        <v>125</v>
      </c>
      <c r="AF111" s="642"/>
      <c r="AG111" s="43">
        <f>SUM(AG109:AG110)</f>
        <v>0</v>
      </c>
      <c r="AH111" s="642" t="s">
        <v>125</v>
      </c>
      <c r="AI111" s="642"/>
      <c r="AJ111" s="43">
        <f>SUM(AJ109:AJ110)</f>
        <v>0</v>
      </c>
      <c r="AK111" s="642" t="s">
        <v>125</v>
      </c>
      <c r="AL111" s="642"/>
      <c r="AM111" s="43">
        <f>SUM(AM109:AM110)</f>
        <v>0</v>
      </c>
      <c r="AN111" s="642" t="s">
        <v>125</v>
      </c>
      <c r="AO111" s="642"/>
      <c r="AP111" s="43">
        <f>SUM(AP109:AP110)</f>
        <v>0</v>
      </c>
      <c r="AQ111" s="642" t="s">
        <v>125</v>
      </c>
      <c r="AR111" s="642"/>
      <c r="AS111" s="43">
        <f>SUM(AS109:AS110)</f>
        <v>0</v>
      </c>
      <c r="AT111" s="642" t="s">
        <v>125</v>
      </c>
      <c r="AU111" s="642"/>
      <c r="AV111" s="43">
        <f>SUM(AV109:AV110)</f>
        <v>0</v>
      </c>
      <c r="AW111" s="642" t="s">
        <v>125</v>
      </c>
      <c r="AX111" s="642"/>
      <c r="AY111" s="43">
        <f>SUM(AY109:AY110)</f>
        <v>0</v>
      </c>
      <c r="AZ111" s="642" t="s">
        <v>125</v>
      </c>
      <c r="BA111" s="642"/>
      <c r="BB111" s="43">
        <f>SUM(BB109:BB110)</f>
        <v>7493.6</v>
      </c>
    </row>
    <row r="112" spans="1:54" s="3" customFormat="1" ht="15" x14ac:dyDescent="0.2">
      <c r="A112" s="34" t="s">
        <v>390</v>
      </c>
      <c r="B112" s="47"/>
      <c r="C112" s="47"/>
      <c r="D112" s="48" t="s">
        <v>391</v>
      </c>
      <c r="E112" s="42"/>
      <c r="F112" s="37"/>
      <c r="G112" s="49"/>
      <c r="H112" s="257"/>
      <c r="I112" s="49"/>
      <c r="J112" s="37"/>
      <c r="K112" s="288"/>
      <c r="L112" s="38"/>
      <c r="M112" s="213"/>
      <c r="N112" s="98"/>
      <c r="O112" s="98"/>
      <c r="P112" s="214"/>
      <c r="Q112" s="98"/>
      <c r="R112" s="98"/>
      <c r="S112" s="214"/>
      <c r="T112" s="98"/>
      <c r="U112" s="98"/>
      <c r="V112" s="214"/>
      <c r="W112" s="98"/>
      <c r="X112" s="98"/>
      <c r="Y112" s="214"/>
      <c r="Z112" s="98"/>
      <c r="AA112" s="98"/>
      <c r="AB112" s="214"/>
      <c r="AC112" s="98"/>
      <c r="AD112" s="98"/>
      <c r="AE112" s="214"/>
      <c r="AF112" s="98"/>
      <c r="AG112" s="98"/>
      <c r="AH112" s="214"/>
      <c r="AI112" s="98"/>
      <c r="AJ112" s="98"/>
      <c r="AK112" s="214"/>
      <c r="AL112" s="98"/>
      <c r="AM112" s="98"/>
      <c r="AN112" s="214"/>
      <c r="AO112" s="98"/>
      <c r="AP112" s="98"/>
      <c r="AQ112" s="214"/>
      <c r="AR112" s="98"/>
      <c r="AS112" s="98"/>
      <c r="AT112" s="214"/>
      <c r="AU112" s="98"/>
      <c r="AV112" s="215"/>
      <c r="AW112" s="214"/>
      <c r="AX112" s="98"/>
      <c r="AY112" s="204"/>
      <c r="AZ112" s="214"/>
      <c r="BA112" s="98"/>
      <c r="BB112" s="204"/>
    </row>
    <row r="113" spans="1:54" s="3" customFormat="1" ht="28.5" x14ac:dyDescent="0.2">
      <c r="A113" s="39" t="s">
        <v>392</v>
      </c>
      <c r="B113" s="338" t="s">
        <v>393</v>
      </c>
      <c r="C113" s="28" t="s">
        <v>394</v>
      </c>
      <c r="D113" s="50" t="s">
        <v>395</v>
      </c>
      <c r="E113" s="28" t="s">
        <v>98</v>
      </c>
      <c r="F113" s="329">
        <v>7.79</v>
      </c>
      <c r="G113" s="36">
        <f>'Quat Const.'!F107</f>
        <v>694.08</v>
      </c>
      <c r="H113" s="258">
        <f t="shared" ref="H113:H118" si="244">G113</f>
        <v>694.08</v>
      </c>
      <c r="I113" s="37">
        <f t="shared" ref="I113:I118" si="245">H113-G113</f>
        <v>0</v>
      </c>
      <c r="J113" s="37">
        <f t="shared" ref="J113:J118" si="246">ROUND((F113*(1+$K$8))*(1+$G$8),2)</f>
        <v>9.8000000000000007</v>
      </c>
      <c r="K113" s="288">
        <f t="shared" ref="K113:K118" si="247">TRUNC(J113*G113,2)</f>
        <v>6801.98</v>
      </c>
      <c r="L113" s="38">
        <f t="shared" ref="L113:L118" si="248">TRUNC(J113*I113,2)</f>
        <v>0</v>
      </c>
      <c r="M113" s="213">
        <f t="shared" ref="M113:M118" si="249">N113/$H113*100</f>
        <v>0</v>
      </c>
      <c r="N113" s="98"/>
      <c r="O113" s="98">
        <f t="shared" ref="O113:O118" si="250">TRUNC(N113*$J113,2)</f>
        <v>0</v>
      </c>
      <c r="P113" s="214">
        <f t="shared" ref="P113:P118" si="251">Q113/$H113*100</f>
        <v>0</v>
      </c>
      <c r="Q113" s="98"/>
      <c r="R113" s="98">
        <f t="shared" ref="R113:R118" si="252">TRUNC(Q113*$J113,2)</f>
        <v>0</v>
      </c>
      <c r="S113" s="214">
        <f t="shared" ref="S113:S118" si="253">T113/$H113*100</f>
        <v>0</v>
      </c>
      <c r="T113" s="98"/>
      <c r="U113" s="98">
        <f t="shared" ref="U113:U118" si="254">TRUNC(T113*$J113,2)</f>
        <v>0</v>
      </c>
      <c r="V113" s="214">
        <f t="shared" ref="V113:V118" si="255">W113/$H113*100</f>
        <v>0</v>
      </c>
      <c r="W113" s="98"/>
      <c r="X113" s="98">
        <f t="shared" ref="X113:X118" si="256">TRUNC(W113*$J113,2)</f>
        <v>0</v>
      </c>
      <c r="Y113" s="214">
        <f t="shared" ref="Y113:Y118" si="257">Z113/$H113*100</f>
        <v>0</v>
      </c>
      <c r="Z113" s="98"/>
      <c r="AA113" s="98">
        <f t="shared" ref="AA113:AA118" si="258">TRUNC(Z113*$J113,2)</f>
        <v>0</v>
      </c>
      <c r="AB113" s="214">
        <f t="shared" ref="AB113:AB118" si="259">AC113/$H113*100</f>
        <v>0</v>
      </c>
      <c r="AC113" s="98"/>
      <c r="AD113" s="98">
        <f t="shared" ref="AD113:AD118" si="260">TRUNC(AC113*$J113,2)</f>
        <v>0</v>
      </c>
      <c r="AE113" s="214">
        <f t="shared" ref="AE113:AE118" si="261">AF113/$H113*100</f>
        <v>0</v>
      </c>
      <c r="AF113" s="98"/>
      <c r="AG113" s="98">
        <f t="shared" ref="AG113:AG118" si="262">TRUNC(AF113*$J113,2)</f>
        <v>0</v>
      </c>
      <c r="AH113" s="214">
        <f t="shared" ref="AH113:AH118" si="263">AI113/$H113*100</f>
        <v>0</v>
      </c>
      <c r="AI113" s="98"/>
      <c r="AJ113" s="98">
        <f t="shared" ref="AJ113:AJ118" si="264">TRUNC(AI113*$J113,2)</f>
        <v>0</v>
      </c>
      <c r="AK113" s="214">
        <f t="shared" ref="AK113:AK118" si="265">AL113/$H113*100</f>
        <v>0</v>
      </c>
      <c r="AL113" s="98"/>
      <c r="AM113" s="98">
        <f t="shared" ref="AM113:AM118" si="266">TRUNC(AL113*$J113,2)</f>
        <v>0</v>
      </c>
      <c r="AN113" s="214">
        <f t="shared" ref="AN113:AN118" si="267">AO113/$H113*100</f>
        <v>0</v>
      </c>
      <c r="AO113" s="98"/>
      <c r="AP113" s="98">
        <f t="shared" ref="AP113:AP118" si="268">TRUNC(AO113*$J113,2)</f>
        <v>0</v>
      </c>
      <c r="AQ113" s="214">
        <f t="shared" ref="AQ113:AQ118" si="269">AR113/$H113*100</f>
        <v>0</v>
      </c>
      <c r="AR113" s="98"/>
      <c r="AS113" s="98">
        <f t="shared" ref="AS113:AS118" si="270">TRUNC(AR113*$J113,2)</f>
        <v>0</v>
      </c>
      <c r="AT113" s="214">
        <f t="shared" ref="AT113:AT118" si="271">AU113/$H113*100</f>
        <v>0</v>
      </c>
      <c r="AU113" s="98"/>
      <c r="AV113" s="215">
        <f t="shared" ref="AV113:AV118" si="272">TRUNC(AU113*$J113,2)</f>
        <v>0</v>
      </c>
      <c r="AW113" s="214">
        <f t="shared" ref="AW113:AW118" si="273">AX113/$H113*100</f>
        <v>0</v>
      </c>
      <c r="AX113" s="98">
        <f t="shared" ref="AX113:AX118" si="274">Q113+N113+T113+W113+Z113+AC113+AF113+AI113+AL113+AO113+AR113+AU113</f>
        <v>0</v>
      </c>
      <c r="AY113" s="204">
        <f t="shared" ref="AY113:AY118" si="275">TRUNC(AX113*$J113,2)</f>
        <v>0</v>
      </c>
      <c r="AZ113" s="214">
        <f t="shared" ref="AZ113:AZ118" si="276">BA113/$H113*100</f>
        <v>100</v>
      </c>
      <c r="BA113" s="98">
        <f t="shared" ref="BA113:BA118" si="277">H113-AX113</f>
        <v>694.08</v>
      </c>
      <c r="BB113" s="204">
        <f t="shared" ref="BB113:BB118" si="278">TRUNC(BA113*$J113,2)</f>
        <v>6801.98</v>
      </c>
    </row>
    <row r="114" spans="1:54" s="3" customFormat="1" ht="28.5" x14ac:dyDescent="0.2">
      <c r="A114" s="39" t="s">
        <v>396</v>
      </c>
      <c r="B114" s="338" t="s">
        <v>397</v>
      </c>
      <c r="C114" s="28" t="s">
        <v>398</v>
      </c>
      <c r="D114" s="349" t="s">
        <v>399</v>
      </c>
      <c r="E114" s="28" t="s">
        <v>98</v>
      </c>
      <c r="F114" s="329">
        <v>8.1999999999999993</v>
      </c>
      <c r="G114" s="36">
        <f>'Quat Const.'!F108</f>
        <v>1983.09</v>
      </c>
      <c r="H114" s="258">
        <f t="shared" si="244"/>
        <v>1983.09</v>
      </c>
      <c r="I114" s="37">
        <f t="shared" si="245"/>
        <v>0</v>
      </c>
      <c r="J114" s="37">
        <f t="shared" si="246"/>
        <v>10.32</v>
      </c>
      <c r="K114" s="288">
        <f t="shared" si="247"/>
        <v>20465.48</v>
      </c>
      <c r="L114" s="38">
        <f t="shared" si="248"/>
        <v>0</v>
      </c>
      <c r="M114" s="213">
        <f t="shared" si="249"/>
        <v>0</v>
      </c>
      <c r="N114" s="98"/>
      <c r="O114" s="98">
        <f t="shared" si="250"/>
        <v>0</v>
      </c>
      <c r="P114" s="214">
        <f t="shared" si="251"/>
        <v>0</v>
      </c>
      <c r="Q114" s="98"/>
      <c r="R114" s="98">
        <f t="shared" si="252"/>
        <v>0</v>
      </c>
      <c r="S114" s="214">
        <f t="shared" si="253"/>
        <v>0</v>
      </c>
      <c r="T114" s="98"/>
      <c r="U114" s="98">
        <f t="shared" si="254"/>
        <v>0</v>
      </c>
      <c r="V114" s="214">
        <f t="shared" si="255"/>
        <v>0</v>
      </c>
      <c r="W114" s="98"/>
      <c r="X114" s="98">
        <f t="shared" si="256"/>
        <v>0</v>
      </c>
      <c r="Y114" s="214">
        <f t="shared" si="257"/>
        <v>0</v>
      </c>
      <c r="Z114" s="98"/>
      <c r="AA114" s="98">
        <f t="shared" si="258"/>
        <v>0</v>
      </c>
      <c r="AB114" s="214">
        <f t="shared" si="259"/>
        <v>0</v>
      </c>
      <c r="AC114" s="98"/>
      <c r="AD114" s="98">
        <f t="shared" si="260"/>
        <v>0</v>
      </c>
      <c r="AE114" s="214">
        <f t="shared" si="261"/>
        <v>0</v>
      </c>
      <c r="AF114" s="98"/>
      <c r="AG114" s="98">
        <f t="shared" si="262"/>
        <v>0</v>
      </c>
      <c r="AH114" s="214">
        <f t="shared" si="263"/>
        <v>0</v>
      </c>
      <c r="AI114" s="98"/>
      <c r="AJ114" s="98">
        <f t="shared" si="264"/>
        <v>0</v>
      </c>
      <c r="AK114" s="214">
        <f t="shared" si="265"/>
        <v>0</v>
      </c>
      <c r="AL114" s="98"/>
      <c r="AM114" s="98">
        <f t="shared" si="266"/>
        <v>0</v>
      </c>
      <c r="AN114" s="214">
        <f t="shared" si="267"/>
        <v>0</v>
      </c>
      <c r="AO114" s="98"/>
      <c r="AP114" s="98">
        <f t="shared" si="268"/>
        <v>0</v>
      </c>
      <c r="AQ114" s="214">
        <f t="shared" si="269"/>
        <v>0</v>
      </c>
      <c r="AR114" s="98"/>
      <c r="AS114" s="98">
        <f t="shared" si="270"/>
        <v>0</v>
      </c>
      <c r="AT114" s="214">
        <f t="shared" si="271"/>
        <v>0</v>
      </c>
      <c r="AU114" s="98"/>
      <c r="AV114" s="215">
        <f t="shared" si="272"/>
        <v>0</v>
      </c>
      <c r="AW114" s="214">
        <f t="shared" si="273"/>
        <v>0</v>
      </c>
      <c r="AX114" s="98">
        <f t="shared" si="274"/>
        <v>0</v>
      </c>
      <c r="AY114" s="204">
        <f t="shared" si="275"/>
        <v>0</v>
      </c>
      <c r="AZ114" s="214">
        <f t="shared" si="276"/>
        <v>100</v>
      </c>
      <c r="BA114" s="98">
        <f t="shared" si="277"/>
        <v>1983.09</v>
      </c>
      <c r="BB114" s="204">
        <f t="shared" si="278"/>
        <v>20465.48</v>
      </c>
    </row>
    <row r="115" spans="1:54" s="3" customFormat="1" ht="42.75" x14ac:dyDescent="0.2">
      <c r="A115" s="39" t="s">
        <v>400</v>
      </c>
      <c r="B115" s="37" t="s">
        <v>104</v>
      </c>
      <c r="C115" s="37" t="s">
        <v>104</v>
      </c>
      <c r="D115" s="92" t="s">
        <v>401</v>
      </c>
      <c r="E115" s="28" t="s">
        <v>98</v>
      </c>
      <c r="F115" s="341">
        <f>5.6*1.25</f>
        <v>7</v>
      </c>
      <c r="G115" s="36">
        <f>'Quat Const.'!F109</f>
        <v>549.45000000000005</v>
      </c>
      <c r="H115" s="258">
        <f t="shared" si="244"/>
        <v>549.45000000000005</v>
      </c>
      <c r="I115" s="37">
        <f t="shared" si="245"/>
        <v>0</v>
      </c>
      <c r="J115" s="37">
        <f t="shared" si="246"/>
        <v>8.81</v>
      </c>
      <c r="K115" s="288">
        <f t="shared" si="247"/>
        <v>4840.6499999999996</v>
      </c>
      <c r="L115" s="38">
        <f t="shared" si="248"/>
        <v>0</v>
      </c>
      <c r="M115" s="213">
        <f t="shared" si="249"/>
        <v>0</v>
      </c>
      <c r="N115" s="98"/>
      <c r="O115" s="98">
        <f t="shared" si="250"/>
        <v>0</v>
      </c>
      <c r="P115" s="214">
        <f t="shared" si="251"/>
        <v>0</v>
      </c>
      <c r="Q115" s="98"/>
      <c r="R115" s="98">
        <f t="shared" si="252"/>
        <v>0</v>
      </c>
      <c r="S115" s="214">
        <f t="shared" si="253"/>
        <v>0</v>
      </c>
      <c r="T115" s="98"/>
      <c r="U115" s="98">
        <f t="shared" si="254"/>
        <v>0</v>
      </c>
      <c r="V115" s="214">
        <f t="shared" si="255"/>
        <v>0</v>
      </c>
      <c r="W115" s="98"/>
      <c r="X115" s="98">
        <f t="shared" si="256"/>
        <v>0</v>
      </c>
      <c r="Y115" s="214">
        <f t="shared" si="257"/>
        <v>0</v>
      </c>
      <c r="Z115" s="98"/>
      <c r="AA115" s="98">
        <f t="shared" si="258"/>
        <v>0</v>
      </c>
      <c r="AB115" s="214">
        <f t="shared" si="259"/>
        <v>0</v>
      </c>
      <c r="AC115" s="98"/>
      <c r="AD115" s="98">
        <f t="shared" si="260"/>
        <v>0</v>
      </c>
      <c r="AE115" s="214">
        <f t="shared" si="261"/>
        <v>0</v>
      </c>
      <c r="AF115" s="98"/>
      <c r="AG115" s="98">
        <f t="shared" si="262"/>
        <v>0</v>
      </c>
      <c r="AH115" s="214">
        <f t="shared" si="263"/>
        <v>0</v>
      </c>
      <c r="AI115" s="98"/>
      <c r="AJ115" s="98">
        <f t="shared" si="264"/>
        <v>0</v>
      </c>
      <c r="AK115" s="214">
        <f t="shared" si="265"/>
        <v>0</v>
      </c>
      <c r="AL115" s="98"/>
      <c r="AM115" s="98">
        <f t="shared" si="266"/>
        <v>0</v>
      </c>
      <c r="AN115" s="214">
        <f t="shared" si="267"/>
        <v>0</v>
      </c>
      <c r="AO115" s="98"/>
      <c r="AP115" s="98">
        <f t="shared" si="268"/>
        <v>0</v>
      </c>
      <c r="AQ115" s="214">
        <f t="shared" si="269"/>
        <v>0</v>
      </c>
      <c r="AR115" s="98"/>
      <c r="AS115" s="98">
        <f t="shared" si="270"/>
        <v>0</v>
      </c>
      <c r="AT115" s="214">
        <f t="shared" si="271"/>
        <v>0</v>
      </c>
      <c r="AU115" s="98"/>
      <c r="AV115" s="215">
        <f t="shared" si="272"/>
        <v>0</v>
      </c>
      <c r="AW115" s="214">
        <f t="shared" si="273"/>
        <v>0</v>
      </c>
      <c r="AX115" s="98">
        <f t="shared" si="274"/>
        <v>0</v>
      </c>
      <c r="AY115" s="204">
        <f t="shared" si="275"/>
        <v>0</v>
      </c>
      <c r="AZ115" s="214">
        <f t="shared" si="276"/>
        <v>100</v>
      </c>
      <c r="BA115" s="98">
        <f t="shared" si="277"/>
        <v>549.45000000000005</v>
      </c>
      <c r="BB115" s="204">
        <f t="shared" si="278"/>
        <v>4840.6499999999996</v>
      </c>
    </row>
    <row r="116" spans="1:54" s="3" customFormat="1" ht="57" x14ac:dyDescent="0.2">
      <c r="A116" s="39" t="s">
        <v>402</v>
      </c>
      <c r="B116" s="338" t="s">
        <v>403</v>
      </c>
      <c r="C116" s="28" t="s">
        <v>404</v>
      </c>
      <c r="D116" s="33" t="s">
        <v>405</v>
      </c>
      <c r="E116" s="28" t="s">
        <v>98</v>
      </c>
      <c r="F116" s="329">
        <v>16.71</v>
      </c>
      <c r="G116" s="36">
        <f>'Quat Const.'!F110</f>
        <v>2442.33</v>
      </c>
      <c r="H116" s="258">
        <f t="shared" si="244"/>
        <v>2442.33</v>
      </c>
      <c r="I116" s="37">
        <f t="shared" si="245"/>
        <v>0</v>
      </c>
      <c r="J116" s="37">
        <f t="shared" si="246"/>
        <v>21.02</v>
      </c>
      <c r="K116" s="288">
        <f t="shared" si="247"/>
        <v>51337.77</v>
      </c>
      <c r="L116" s="38">
        <f t="shared" si="248"/>
        <v>0</v>
      </c>
      <c r="M116" s="213">
        <f t="shared" si="249"/>
        <v>0</v>
      </c>
      <c r="N116" s="98"/>
      <c r="O116" s="98">
        <f t="shared" si="250"/>
        <v>0</v>
      </c>
      <c r="P116" s="214">
        <f t="shared" si="251"/>
        <v>0</v>
      </c>
      <c r="Q116" s="98"/>
      <c r="R116" s="98">
        <f t="shared" si="252"/>
        <v>0</v>
      </c>
      <c r="S116" s="214">
        <f t="shared" si="253"/>
        <v>0</v>
      </c>
      <c r="T116" s="98"/>
      <c r="U116" s="98">
        <f t="shared" si="254"/>
        <v>0</v>
      </c>
      <c r="V116" s="214">
        <f t="shared" si="255"/>
        <v>0</v>
      </c>
      <c r="W116" s="98"/>
      <c r="X116" s="98">
        <f t="shared" si="256"/>
        <v>0</v>
      </c>
      <c r="Y116" s="214">
        <f t="shared" si="257"/>
        <v>0</v>
      </c>
      <c r="Z116" s="98"/>
      <c r="AA116" s="98">
        <f t="shared" si="258"/>
        <v>0</v>
      </c>
      <c r="AB116" s="214">
        <f t="shared" si="259"/>
        <v>0</v>
      </c>
      <c r="AC116" s="98"/>
      <c r="AD116" s="98">
        <f t="shared" si="260"/>
        <v>0</v>
      </c>
      <c r="AE116" s="214">
        <f t="shared" si="261"/>
        <v>0</v>
      </c>
      <c r="AF116" s="98"/>
      <c r="AG116" s="98">
        <f t="shared" si="262"/>
        <v>0</v>
      </c>
      <c r="AH116" s="214">
        <f t="shared" si="263"/>
        <v>0</v>
      </c>
      <c r="AI116" s="98"/>
      <c r="AJ116" s="98">
        <f t="shared" si="264"/>
        <v>0</v>
      </c>
      <c r="AK116" s="214">
        <f t="shared" si="265"/>
        <v>0</v>
      </c>
      <c r="AL116" s="98"/>
      <c r="AM116" s="98">
        <f t="shared" si="266"/>
        <v>0</v>
      </c>
      <c r="AN116" s="214">
        <f t="shared" si="267"/>
        <v>0</v>
      </c>
      <c r="AO116" s="98"/>
      <c r="AP116" s="98">
        <f t="shared" si="268"/>
        <v>0</v>
      </c>
      <c r="AQ116" s="214">
        <f t="shared" si="269"/>
        <v>0</v>
      </c>
      <c r="AR116" s="98"/>
      <c r="AS116" s="98">
        <f t="shared" si="270"/>
        <v>0</v>
      </c>
      <c r="AT116" s="214">
        <f t="shared" si="271"/>
        <v>0</v>
      </c>
      <c r="AU116" s="98"/>
      <c r="AV116" s="215">
        <f t="shared" si="272"/>
        <v>0</v>
      </c>
      <c r="AW116" s="214">
        <f t="shared" si="273"/>
        <v>0</v>
      </c>
      <c r="AX116" s="98">
        <f t="shared" si="274"/>
        <v>0</v>
      </c>
      <c r="AY116" s="204">
        <f t="shared" si="275"/>
        <v>0</v>
      </c>
      <c r="AZ116" s="214">
        <f t="shared" si="276"/>
        <v>100</v>
      </c>
      <c r="BA116" s="98">
        <f t="shared" si="277"/>
        <v>2442.33</v>
      </c>
      <c r="BB116" s="204">
        <f t="shared" si="278"/>
        <v>51337.77</v>
      </c>
    </row>
    <row r="117" spans="1:54" s="3" customFormat="1" ht="15" x14ac:dyDescent="0.2">
      <c r="A117" s="39" t="s">
        <v>406</v>
      </c>
      <c r="B117" s="338" t="s">
        <v>371</v>
      </c>
      <c r="C117" s="28" t="s">
        <v>372</v>
      </c>
      <c r="D117" s="58" t="s">
        <v>407</v>
      </c>
      <c r="E117" s="28" t="s">
        <v>98</v>
      </c>
      <c r="F117" s="329">
        <v>9.8000000000000007</v>
      </c>
      <c r="G117" s="36">
        <f>'Quat Const.'!F111</f>
        <v>642</v>
      </c>
      <c r="H117" s="258">
        <f t="shared" si="244"/>
        <v>642</v>
      </c>
      <c r="I117" s="37">
        <f t="shared" si="245"/>
        <v>0</v>
      </c>
      <c r="J117" s="37">
        <f t="shared" si="246"/>
        <v>12.33</v>
      </c>
      <c r="K117" s="288">
        <f t="shared" si="247"/>
        <v>7915.86</v>
      </c>
      <c r="L117" s="38">
        <f t="shared" si="248"/>
        <v>0</v>
      </c>
      <c r="M117" s="213">
        <f t="shared" si="249"/>
        <v>0</v>
      </c>
      <c r="N117" s="98"/>
      <c r="O117" s="98">
        <f t="shared" si="250"/>
        <v>0</v>
      </c>
      <c r="P117" s="214">
        <f t="shared" si="251"/>
        <v>0</v>
      </c>
      <c r="Q117" s="98"/>
      <c r="R117" s="98">
        <f t="shared" si="252"/>
        <v>0</v>
      </c>
      <c r="S117" s="214">
        <f t="shared" si="253"/>
        <v>0</v>
      </c>
      <c r="T117" s="98"/>
      <c r="U117" s="98">
        <f t="shared" si="254"/>
        <v>0</v>
      </c>
      <c r="V117" s="214">
        <f t="shared" si="255"/>
        <v>0</v>
      </c>
      <c r="W117" s="98"/>
      <c r="X117" s="98">
        <f t="shared" si="256"/>
        <v>0</v>
      </c>
      <c r="Y117" s="214">
        <f t="shared" si="257"/>
        <v>0</v>
      </c>
      <c r="Z117" s="98"/>
      <c r="AA117" s="98">
        <f t="shared" si="258"/>
        <v>0</v>
      </c>
      <c r="AB117" s="214">
        <f t="shared" si="259"/>
        <v>0</v>
      </c>
      <c r="AC117" s="98"/>
      <c r="AD117" s="98">
        <f t="shared" si="260"/>
        <v>0</v>
      </c>
      <c r="AE117" s="214">
        <f t="shared" si="261"/>
        <v>0</v>
      </c>
      <c r="AF117" s="98"/>
      <c r="AG117" s="98">
        <f t="shared" si="262"/>
        <v>0</v>
      </c>
      <c r="AH117" s="214">
        <f t="shared" si="263"/>
        <v>0</v>
      </c>
      <c r="AI117" s="98"/>
      <c r="AJ117" s="98">
        <f t="shared" si="264"/>
        <v>0</v>
      </c>
      <c r="AK117" s="214">
        <f t="shared" si="265"/>
        <v>0</v>
      </c>
      <c r="AL117" s="98"/>
      <c r="AM117" s="98">
        <f t="shared" si="266"/>
        <v>0</v>
      </c>
      <c r="AN117" s="214">
        <f t="shared" si="267"/>
        <v>0</v>
      </c>
      <c r="AO117" s="98"/>
      <c r="AP117" s="98">
        <f t="shared" si="268"/>
        <v>0</v>
      </c>
      <c r="AQ117" s="214">
        <f t="shared" si="269"/>
        <v>0</v>
      </c>
      <c r="AR117" s="98"/>
      <c r="AS117" s="98">
        <f t="shared" si="270"/>
        <v>0</v>
      </c>
      <c r="AT117" s="214">
        <f t="shared" si="271"/>
        <v>0</v>
      </c>
      <c r="AU117" s="98"/>
      <c r="AV117" s="215">
        <f t="shared" si="272"/>
        <v>0</v>
      </c>
      <c r="AW117" s="214">
        <f t="shared" si="273"/>
        <v>0</v>
      </c>
      <c r="AX117" s="98">
        <f t="shared" si="274"/>
        <v>0</v>
      </c>
      <c r="AY117" s="204">
        <f t="shared" si="275"/>
        <v>0</v>
      </c>
      <c r="AZ117" s="214">
        <f t="shared" si="276"/>
        <v>100</v>
      </c>
      <c r="BA117" s="98">
        <f t="shared" si="277"/>
        <v>642</v>
      </c>
      <c r="BB117" s="204">
        <f t="shared" si="278"/>
        <v>7915.86</v>
      </c>
    </row>
    <row r="118" spans="1:54" s="3" customFormat="1" ht="28.5" x14ac:dyDescent="0.2">
      <c r="A118" s="39" t="s">
        <v>408</v>
      </c>
      <c r="B118" s="338" t="s">
        <v>409</v>
      </c>
      <c r="C118" s="28" t="s">
        <v>410</v>
      </c>
      <c r="D118" s="50" t="s">
        <v>411</v>
      </c>
      <c r="E118" s="28" t="s">
        <v>275</v>
      </c>
      <c r="F118" s="329">
        <v>12.6</v>
      </c>
      <c r="G118" s="36">
        <f>'Quat Const.'!F112</f>
        <v>369.38</v>
      </c>
      <c r="H118" s="258">
        <f t="shared" si="244"/>
        <v>369.38</v>
      </c>
      <c r="I118" s="37">
        <f t="shared" si="245"/>
        <v>0</v>
      </c>
      <c r="J118" s="37">
        <f t="shared" si="246"/>
        <v>15.85</v>
      </c>
      <c r="K118" s="288">
        <f t="shared" si="247"/>
        <v>5854.67</v>
      </c>
      <c r="L118" s="38">
        <f t="shared" si="248"/>
        <v>0</v>
      </c>
      <c r="M118" s="213">
        <f t="shared" si="249"/>
        <v>0</v>
      </c>
      <c r="N118" s="98"/>
      <c r="O118" s="98">
        <f t="shared" si="250"/>
        <v>0</v>
      </c>
      <c r="P118" s="214">
        <f t="shared" si="251"/>
        <v>0</v>
      </c>
      <c r="Q118" s="98"/>
      <c r="R118" s="98">
        <f t="shared" si="252"/>
        <v>0</v>
      </c>
      <c r="S118" s="214">
        <f t="shared" si="253"/>
        <v>0</v>
      </c>
      <c r="T118" s="98"/>
      <c r="U118" s="98">
        <f t="shared" si="254"/>
        <v>0</v>
      </c>
      <c r="V118" s="214">
        <f t="shared" si="255"/>
        <v>0</v>
      </c>
      <c r="W118" s="98"/>
      <c r="X118" s="98">
        <f t="shared" si="256"/>
        <v>0</v>
      </c>
      <c r="Y118" s="214">
        <f t="shared" si="257"/>
        <v>0</v>
      </c>
      <c r="Z118" s="98"/>
      <c r="AA118" s="98">
        <f t="shared" si="258"/>
        <v>0</v>
      </c>
      <c r="AB118" s="214">
        <f t="shared" si="259"/>
        <v>0</v>
      </c>
      <c r="AC118" s="98"/>
      <c r="AD118" s="98">
        <f t="shared" si="260"/>
        <v>0</v>
      </c>
      <c r="AE118" s="214">
        <f t="shared" si="261"/>
        <v>0</v>
      </c>
      <c r="AF118" s="98"/>
      <c r="AG118" s="98">
        <f t="shared" si="262"/>
        <v>0</v>
      </c>
      <c r="AH118" s="214">
        <f t="shared" si="263"/>
        <v>0</v>
      </c>
      <c r="AI118" s="98"/>
      <c r="AJ118" s="98">
        <f t="shared" si="264"/>
        <v>0</v>
      </c>
      <c r="AK118" s="214">
        <f t="shared" si="265"/>
        <v>0</v>
      </c>
      <c r="AL118" s="98"/>
      <c r="AM118" s="98">
        <f t="shared" si="266"/>
        <v>0</v>
      </c>
      <c r="AN118" s="214">
        <f t="shared" si="267"/>
        <v>0</v>
      </c>
      <c r="AO118" s="98"/>
      <c r="AP118" s="98">
        <f t="shared" si="268"/>
        <v>0</v>
      </c>
      <c r="AQ118" s="214">
        <f t="shared" si="269"/>
        <v>0</v>
      </c>
      <c r="AR118" s="98"/>
      <c r="AS118" s="98">
        <f t="shared" si="270"/>
        <v>0</v>
      </c>
      <c r="AT118" s="214">
        <f t="shared" si="271"/>
        <v>0</v>
      </c>
      <c r="AU118" s="98"/>
      <c r="AV118" s="215">
        <f t="shared" si="272"/>
        <v>0</v>
      </c>
      <c r="AW118" s="214">
        <f t="shared" si="273"/>
        <v>0</v>
      </c>
      <c r="AX118" s="98">
        <f t="shared" si="274"/>
        <v>0</v>
      </c>
      <c r="AY118" s="204">
        <f t="shared" si="275"/>
        <v>0</v>
      </c>
      <c r="AZ118" s="214">
        <f t="shared" si="276"/>
        <v>100</v>
      </c>
      <c r="BA118" s="98">
        <f t="shared" si="277"/>
        <v>369.38</v>
      </c>
      <c r="BB118" s="204">
        <f t="shared" si="278"/>
        <v>5854.67</v>
      </c>
    </row>
    <row r="119" spans="1:54" s="3" customFormat="1" ht="15" customHeight="1" x14ac:dyDescent="0.2">
      <c r="A119" s="34"/>
      <c r="B119" s="45"/>
      <c r="C119" s="45"/>
      <c r="D119" s="51" t="s">
        <v>55</v>
      </c>
      <c r="E119" s="42"/>
      <c r="F119" s="37"/>
      <c r="G119" s="37"/>
      <c r="H119" s="642" t="s">
        <v>125</v>
      </c>
      <c r="I119" s="642"/>
      <c r="J119" s="642"/>
      <c r="K119" s="172">
        <f>SUM(K113:K118)</f>
        <v>97216.41</v>
      </c>
      <c r="L119" s="43">
        <f>SUM(L113:L118)</f>
        <v>0</v>
      </c>
      <c r="M119" s="648" t="s">
        <v>125</v>
      </c>
      <c r="N119" s="642"/>
      <c r="O119" s="172">
        <f>SUM(O113:O118)</f>
        <v>0</v>
      </c>
      <c r="P119" s="641" t="s">
        <v>125</v>
      </c>
      <c r="Q119" s="642"/>
      <c r="R119" s="172">
        <f>SUM(R113:R118)</f>
        <v>0</v>
      </c>
      <c r="S119" s="641" t="s">
        <v>125</v>
      </c>
      <c r="T119" s="642"/>
      <c r="U119" s="172">
        <f>SUM(U113:U118)</f>
        <v>0</v>
      </c>
      <c r="V119" s="641" t="s">
        <v>125</v>
      </c>
      <c r="W119" s="642"/>
      <c r="X119" s="172">
        <f>SUM(X113:X118)</f>
        <v>0</v>
      </c>
      <c r="Y119" s="641" t="s">
        <v>125</v>
      </c>
      <c r="Z119" s="642"/>
      <c r="AA119" s="172">
        <f>SUM(AA113:AA118)</f>
        <v>0</v>
      </c>
      <c r="AB119" s="641" t="s">
        <v>125</v>
      </c>
      <c r="AC119" s="642"/>
      <c r="AD119" s="172">
        <f>SUM(AD113:AD118)</f>
        <v>0</v>
      </c>
      <c r="AE119" s="641" t="s">
        <v>125</v>
      </c>
      <c r="AF119" s="642"/>
      <c r="AG119" s="172">
        <f>SUM(AG113:AG118)</f>
        <v>0</v>
      </c>
      <c r="AH119" s="641" t="s">
        <v>125</v>
      </c>
      <c r="AI119" s="642"/>
      <c r="AJ119" s="172">
        <f>SUM(AJ113:AJ118)</f>
        <v>0</v>
      </c>
      <c r="AK119" s="641" t="s">
        <v>125</v>
      </c>
      <c r="AL119" s="642"/>
      <c r="AM119" s="172">
        <f>SUM(AM113:AM118)</f>
        <v>0</v>
      </c>
      <c r="AN119" s="641" t="s">
        <v>125</v>
      </c>
      <c r="AO119" s="642"/>
      <c r="AP119" s="172">
        <f>SUM(AP113:AP118)</f>
        <v>0</v>
      </c>
      <c r="AQ119" s="641" t="s">
        <v>125</v>
      </c>
      <c r="AR119" s="642"/>
      <c r="AS119" s="172">
        <f>SUM(AS113:AS118)</f>
        <v>0</v>
      </c>
      <c r="AT119" s="641" t="s">
        <v>125</v>
      </c>
      <c r="AU119" s="642"/>
      <c r="AV119" s="173">
        <f>SUM(AV113:AV118)</f>
        <v>0</v>
      </c>
      <c r="AW119" s="641" t="s">
        <v>125</v>
      </c>
      <c r="AX119" s="642"/>
      <c r="AY119" s="43">
        <f>SUM(AY113:AY118)</f>
        <v>0</v>
      </c>
      <c r="AZ119" s="641" t="s">
        <v>125</v>
      </c>
      <c r="BA119" s="642"/>
      <c r="BB119" s="43">
        <f>SUM(BB113:BB118)</f>
        <v>97216.41</v>
      </c>
    </row>
    <row r="120" spans="1:54" s="3" customFormat="1" ht="15" x14ac:dyDescent="0.2">
      <c r="A120" s="34" t="s">
        <v>412</v>
      </c>
      <c r="B120" s="47"/>
      <c r="C120" s="47"/>
      <c r="D120" s="27" t="s">
        <v>413</v>
      </c>
      <c r="E120" s="42"/>
      <c r="F120" s="37"/>
      <c r="G120" s="49"/>
      <c r="H120" s="257"/>
      <c r="I120" s="49"/>
      <c r="J120" s="37"/>
      <c r="K120" s="288"/>
      <c r="L120" s="38"/>
      <c r="M120" s="213"/>
      <c r="N120" s="98"/>
      <c r="O120" s="98"/>
      <c r="P120" s="214"/>
      <c r="Q120" s="98"/>
      <c r="R120" s="98"/>
      <c r="S120" s="214"/>
      <c r="T120" s="98"/>
      <c r="U120" s="98"/>
      <c r="V120" s="214"/>
      <c r="W120" s="98"/>
      <c r="X120" s="98"/>
      <c r="Y120" s="214"/>
      <c r="Z120" s="98"/>
      <c r="AA120" s="98"/>
      <c r="AB120" s="214"/>
      <c r="AC120" s="98"/>
      <c r="AD120" s="98"/>
      <c r="AE120" s="214"/>
      <c r="AF120" s="98"/>
      <c r="AG120" s="98"/>
      <c r="AH120" s="214"/>
      <c r="AI120" s="98"/>
      <c r="AJ120" s="98"/>
      <c r="AK120" s="214"/>
      <c r="AL120" s="98"/>
      <c r="AM120" s="98"/>
      <c r="AN120" s="214"/>
      <c r="AO120" s="98"/>
      <c r="AP120" s="98"/>
      <c r="AQ120" s="214"/>
      <c r="AR120" s="98"/>
      <c r="AS120" s="98"/>
      <c r="AT120" s="214"/>
      <c r="AU120" s="98"/>
      <c r="AV120" s="215"/>
      <c r="AW120" s="214"/>
      <c r="AX120" s="98"/>
      <c r="AY120" s="204"/>
      <c r="AZ120" s="214"/>
      <c r="BA120" s="98"/>
      <c r="BB120" s="204"/>
    </row>
    <row r="121" spans="1:54" s="3" customFormat="1" ht="57" x14ac:dyDescent="0.2">
      <c r="A121" s="280" t="s">
        <v>414</v>
      </c>
      <c r="B121" s="37" t="s">
        <v>104</v>
      </c>
      <c r="C121" s="37" t="s">
        <v>104</v>
      </c>
      <c r="D121" s="50" t="s">
        <v>415</v>
      </c>
      <c r="E121" s="28" t="s">
        <v>110</v>
      </c>
      <c r="F121" s="351">
        <f>166*1.25</f>
        <v>207.5</v>
      </c>
      <c r="G121" s="242">
        <f>'Quat Const.'!F115</f>
        <v>11</v>
      </c>
      <c r="H121" s="242">
        <f t="shared" ref="H121:H127" si="279">G121</f>
        <v>11</v>
      </c>
      <c r="I121" s="37">
        <f t="shared" ref="I121:I127" si="280">H121-G121</f>
        <v>0</v>
      </c>
      <c r="J121" s="37">
        <f t="shared" ref="J121:J127" si="281">ROUND((F121*(1+$K$8))*(1+$G$8),2)</f>
        <v>261.06</v>
      </c>
      <c r="K121" s="288">
        <f t="shared" ref="K121:K127" si="282">TRUNC(J121*G121,2)</f>
        <v>2871.66</v>
      </c>
      <c r="L121" s="38">
        <f t="shared" ref="L121:L127" si="283">TRUNC(J121*I121,2)</f>
        <v>0</v>
      </c>
      <c r="M121" s="213">
        <f t="shared" ref="M121:M127" si="284">N121/$H121*100</f>
        <v>0</v>
      </c>
      <c r="N121" s="98"/>
      <c r="O121" s="98">
        <f t="shared" ref="O121:O127" si="285">TRUNC(N121*$J121,2)</f>
        <v>0</v>
      </c>
      <c r="P121" s="214">
        <f t="shared" ref="P121:P127" si="286">Q121/$H121*100</f>
        <v>0</v>
      </c>
      <c r="Q121" s="98"/>
      <c r="R121" s="98">
        <f t="shared" ref="R121:R127" si="287">TRUNC(Q121*$J121,2)</f>
        <v>0</v>
      </c>
      <c r="S121" s="214">
        <f t="shared" ref="S121:S127" si="288">T121/$H121*100</f>
        <v>0</v>
      </c>
      <c r="T121" s="98"/>
      <c r="U121" s="98">
        <f t="shared" ref="U121:U127" si="289">TRUNC(T121*$J121,2)</f>
        <v>0</v>
      </c>
      <c r="V121" s="214">
        <f t="shared" ref="V121:V127" si="290">W121/$H121*100</f>
        <v>0</v>
      </c>
      <c r="W121" s="98"/>
      <c r="X121" s="98">
        <f t="shared" ref="X121:X127" si="291">TRUNC(W121*$J121,2)</f>
        <v>0</v>
      </c>
      <c r="Y121" s="214">
        <f t="shared" ref="Y121:Y127" si="292">Z121/$H121*100</f>
        <v>0</v>
      </c>
      <c r="Z121" s="98"/>
      <c r="AA121" s="98">
        <f t="shared" ref="AA121:AA127" si="293">TRUNC(Z121*$J121,2)</f>
        <v>0</v>
      </c>
      <c r="AB121" s="214">
        <f t="shared" ref="AB121:AB127" si="294">AC121/$H121*100</f>
        <v>0</v>
      </c>
      <c r="AC121" s="98"/>
      <c r="AD121" s="98">
        <f t="shared" ref="AD121:AD127" si="295">TRUNC(AC121*$J121,2)</f>
        <v>0</v>
      </c>
      <c r="AE121" s="214">
        <f t="shared" ref="AE121:AE127" si="296">AF121/$H121*100</f>
        <v>0</v>
      </c>
      <c r="AF121" s="98"/>
      <c r="AG121" s="98">
        <f t="shared" ref="AG121:AG127" si="297">TRUNC(AF121*$J121,2)</f>
        <v>0</v>
      </c>
      <c r="AH121" s="214">
        <f t="shared" ref="AH121:AH127" si="298">AI121/$H121*100</f>
        <v>0</v>
      </c>
      <c r="AI121" s="98"/>
      <c r="AJ121" s="98">
        <f t="shared" ref="AJ121:AJ127" si="299">TRUNC(AI121*$J121,2)</f>
        <v>0</v>
      </c>
      <c r="AK121" s="214">
        <f t="shared" ref="AK121:AK127" si="300">AL121/$H121*100</f>
        <v>0</v>
      </c>
      <c r="AL121" s="98"/>
      <c r="AM121" s="98">
        <f t="shared" ref="AM121:AM127" si="301">TRUNC(AL121*$J121,2)</f>
        <v>0</v>
      </c>
      <c r="AN121" s="214">
        <f t="shared" ref="AN121:AN127" si="302">AO121/$H121*100</f>
        <v>0</v>
      </c>
      <c r="AO121" s="98"/>
      <c r="AP121" s="98">
        <f t="shared" ref="AP121:AP127" si="303">TRUNC(AO121*$J121,2)</f>
        <v>0</v>
      </c>
      <c r="AQ121" s="214">
        <f t="shared" ref="AQ121:AQ127" si="304">AR121/$H121*100</f>
        <v>0</v>
      </c>
      <c r="AR121" s="98"/>
      <c r="AS121" s="98">
        <f t="shared" ref="AS121:AS127" si="305">TRUNC(AR121*$J121,2)</f>
        <v>0</v>
      </c>
      <c r="AT121" s="214">
        <f t="shared" ref="AT121:AT127" si="306">AU121/$H121*100</f>
        <v>0</v>
      </c>
      <c r="AU121" s="98"/>
      <c r="AV121" s="215">
        <f t="shared" ref="AV121:AV127" si="307">TRUNC(AU121*$J121,2)</f>
        <v>0</v>
      </c>
      <c r="AW121" s="214">
        <f t="shared" ref="AW121:AW127" si="308">AX121/$H121*100</f>
        <v>0</v>
      </c>
      <c r="AX121" s="98">
        <f t="shared" ref="AX121:AX127" si="309">Q121+N121+T121+W121+Z121+AC121+AF121+AI121+AL121+AO121+AR121+AU121</f>
        <v>0</v>
      </c>
      <c r="AY121" s="204">
        <f t="shared" ref="AY121:AY127" si="310">TRUNC(AX121*$J121,2)</f>
        <v>0</v>
      </c>
      <c r="AZ121" s="214">
        <f t="shared" ref="AZ121:AZ127" si="311">BA121/$H121*100</f>
        <v>100</v>
      </c>
      <c r="BA121" s="98">
        <f t="shared" ref="BA121:BA127" si="312">H121-AX121</f>
        <v>11</v>
      </c>
      <c r="BB121" s="204">
        <f t="shared" ref="BB121:BB127" si="313">TRUNC(BA121*$J121,2)</f>
        <v>2871.66</v>
      </c>
    </row>
    <row r="122" spans="1:54" s="3" customFormat="1" ht="28.5" x14ac:dyDescent="0.2">
      <c r="A122" s="280" t="s">
        <v>416</v>
      </c>
      <c r="B122" s="37" t="s">
        <v>104</v>
      </c>
      <c r="C122" s="37" t="s">
        <v>104</v>
      </c>
      <c r="D122" s="50" t="s">
        <v>417</v>
      </c>
      <c r="E122" s="28" t="s">
        <v>110</v>
      </c>
      <c r="F122" s="347">
        <f>202.25*1.25</f>
        <v>252.8125</v>
      </c>
      <c r="G122" s="242">
        <f>'Quat Const.'!F116</f>
        <v>3</v>
      </c>
      <c r="H122" s="242">
        <f t="shared" si="279"/>
        <v>3</v>
      </c>
      <c r="I122" s="37">
        <f t="shared" si="280"/>
        <v>0</v>
      </c>
      <c r="J122" s="37">
        <f t="shared" si="281"/>
        <v>318.06</v>
      </c>
      <c r="K122" s="288">
        <f t="shared" si="282"/>
        <v>954.18</v>
      </c>
      <c r="L122" s="38">
        <f t="shared" si="283"/>
        <v>0</v>
      </c>
      <c r="M122" s="213">
        <f t="shared" si="284"/>
        <v>0</v>
      </c>
      <c r="N122" s="98"/>
      <c r="O122" s="98">
        <f t="shared" si="285"/>
        <v>0</v>
      </c>
      <c r="P122" s="214">
        <f t="shared" si="286"/>
        <v>0</v>
      </c>
      <c r="Q122" s="98"/>
      <c r="R122" s="98">
        <f t="shared" si="287"/>
        <v>0</v>
      </c>
      <c r="S122" s="214">
        <f t="shared" si="288"/>
        <v>0</v>
      </c>
      <c r="T122" s="98"/>
      <c r="U122" s="98">
        <f t="shared" si="289"/>
        <v>0</v>
      </c>
      <c r="V122" s="214">
        <f t="shared" si="290"/>
        <v>0</v>
      </c>
      <c r="W122" s="98"/>
      <c r="X122" s="98">
        <f t="shared" si="291"/>
        <v>0</v>
      </c>
      <c r="Y122" s="214">
        <f t="shared" si="292"/>
        <v>0</v>
      </c>
      <c r="Z122" s="98"/>
      <c r="AA122" s="98">
        <f t="shared" si="293"/>
        <v>0</v>
      </c>
      <c r="AB122" s="214">
        <f t="shared" si="294"/>
        <v>0</v>
      </c>
      <c r="AC122" s="98"/>
      <c r="AD122" s="98">
        <f t="shared" si="295"/>
        <v>0</v>
      </c>
      <c r="AE122" s="214">
        <f t="shared" si="296"/>
        <v>0</v>
      </c>
      <c r="AF122" s="98"/>
      <c r="AG122" s="98">
        <f t="shared" si="297"/>
        <v>0</v>
      </c>
      <c r="AH122" s="214">
        <f t="shared" si="298"/>
        <v>0</v>
      </c>
      <c r="AI122" s="98"/>
      <c r="AJ122" s="98">
        <f t="shared" si="299"/>
        <v>0</v>
      </c>
      <c r="AK122" s="214">
        <f t="shared" si="300"/>
        <v>0</v>
      </c>
      <c r="AL122" s="98"/>
      <c r="AM122" s="98">
        <f t="shared" si="301"/>
        <v>0</v>
      </c>
      <c r="AN122" s="214">
        <f t="shared" si="302"/>
        <v>0</v>
      </c>
      <c r="AO122" s="98"/>
      <c r="AP122" s="98">
        <f t="shared" si="303"/>
        <v>0</v>
      </c>
      <c r="AQ122" s="214">
        <f t="shared" si="304"/>
        <v>0</v>
      </c>
      <c r="AR122" s="98"/>
      <c r="AS122" s="98">
        <f t="shared" si="305"/>
        <v>0</v>
      </c>
      <c r="AT122" s="214">
        <f t="shared" si="306"/>
        <v>0</v>
      </c>
      <c r="AU122" s="98"/>
      <c r="AV122" s="215">
        <f t="shared" si="307"/>
        <v>0</v>
      </c>
      <c r="AW122" s="214">
        <f t="shared" si="308"/>
        <v>0</v>
      </c>
      <c r="AX122" s="98">
        <f t="shared" si="309"/>
        <v>0</v>
      </c>
      <c r="AY122" s="204">
        <f t="shared" si="310"/>
        <v>0</v>
      </c>
      <c r="AZ122" s="214">
        <f t="shared" si="311"/>
        <v>100</v>
      </c>
      <c r="BA122" s="98">
        <f t="shared" si="312"/>
        <v>3</v>
      </c>
      <c r="BB122" s="204">
        <f t="shared" si="313"/>
        <v>954.18</v>
      </c>
    </row>
    <row r="123" spans="1:54" s="3" customFormat="1" ht="28.5" x14ac:dyDescent="0.2">
      <c r="A123" s="280" t="s">
        <v>418</v>
      </c>
      <c r="B123" s="37" t="s">
        <v>104</v>
      </c>
      <c r="C123" s="37" t="s">
        <v>104</v>
      </c>
      <c r="D123" s="50" t="s">
        <v>419</v>
      </c>
      <c r="E123" s="28" t="s">
        <v>110</v>
      </c>
      <c r="F123" s="347">
        <f>312.47*1.25</f>
        <v>390.58750000000003</v>
      </c>
      <c r="G123" s="242">
        <f>'Quat Const.'!F117</f>
        <v>1</v>
      </c>
      <c r="H123" s="242">
        <f t="shared" si="279"/>
        <v>1</v>
      </c>
      <c r="I123" s="37">
        <f t="shared" si="280"/>
        <v>0</v>
      </c>
      <c r="J123" s="37">
        <f t="shared" si="281"/>
        <v>491.4</v>
      </c>
      <c r="K123" s="288">
        <f t="shared" si="282"/>
        <v>491.4</v>
      </c>
      <c r="L123" s="38">
        <f t="shared" si="283"/>
        <v>0</v>
      </c>
      <c r="M123" s="213">
        <f t="shared" si="284"/>
        <v>0</v>
      </c>
      <c r="N123" s="98"/>
      <c r="O123" s="98">
        <f t="shared" si="285"/>
        <v>0</v>
      </c>
      <c r="P123" s="214">
        <f t="shared" si="286"/>
        <v>0</v>
      </c>
      <c r="Q123" s="98"/>
      <c r="R123" s="98">
        <f t="shared" si="287"/>
        <v>0</v>
      </c>
      <c r="S123" s="214">
        <f t="shared" si="288"/>
        <v>0</v>
      </c>
      <c r="T123" s="98"/>
      <c r="U123" s="98">
        <f t="shared" si="289"/>
        <v>0</v>
      </c>
      <c r="V123" s="214">
        <f t="shared" si="290"/>
        <v>0</v>
      </c>
      <c r="W123" s="98"/>
      <c r="X123" s="98">
        <f t="shared" si="291"/>
        <v>0</v>
      </c>
      <c r="Y123" s="214">
        <f t="shared" si="292"/>
        <v>0</v>
      </c>
      <c r="Z123" s="98"/>
      <c r="AA123" s="98">
        <f t="shared" si="293"/>
        <v>0</v>
      </c>
      <c r="AB123" s="214">
        <f t="shared" si="294"/>
        <v>0</v>
      </c>
      <c r="AC123" s="98"/>
      <c r="AD123" s="98">
        <f t="shared" si="295"/>
        <v>0</v>
      </c>
      <c r="AE123" s="214">
        <f t="shared" si="296"/>
        <v>0</v>
      </c>
      <c r="AF123" s="98"/>
      <c r="AG123" s="98">
        <f t="shared" si="297"/>
        <v>0</v>
      </c>
      <c r="AH123" s="214">
        <f t="shared" si="298"/>
        <v>0</v>
      </c>
      <c r="AI123" s="98"/>
      <c r="AJ123" s="98">
        <f t="shared" si="299"/>
        <v>0</v>
      </c>
      <c r="AK123" s="214">
        <f t="shared" si="300"/>
        <v>0</v>
      </c>
      <c r="AL123" s="98"/>
      <c r="AM123" s="98">
        <f t="shared" si="301"/>
        <v>0</v>
      </c>
      <c r="AN123" s="214">
        <f t="shared" si="302"/>
        <v>0</v>
      </c>
      <c r="AO123" s="98"/>
      <c r="AP123" s="98">
        <f t="shared" si="303"/>
        <v>0</v>
      </c>
      <c r="AQ123" s="214">
        <f t="shared" si="304"/>
        <v>0</v>
      </c>
      <c r="AR123" s="98"/>
      <c r="AS123" s="98">
        <f t="shared" si="305"/>
        <v>0</v>
      </c>
      <c r="AT123" s="214">
        <f t="shared" si="306"/>
        <v>0</v>
      </c>
      <c r="AU123" s="98"/>
      <c r="AV123" s="215">
        <f t="shared" si="307"/>
        <v>0</v>
      </c>
      <c r="AW123" s="214">
        <f t="shared" si="308"/>
        <v>0</v>
      </c>
      <c r="AX123" s="98">
        <f t="shared" si="309"/>
        <v>0</v>
      </c>
      <c r="AY123" s="204">
        <f t="shared" si="310"/>
        <v>0</v>
      </c>
      <c r="AZ123" s="214">
        <f t="shared" si="311"/>
        <v>100</v>
      </c>
      <c r="BA123" s="98">
        <f t="shared" si="312"/>
        <v>1</v>
      </c>
      <c r="BB123" s="204">
        <f t="shared" si="313"/>
        <v>491.4</v>
      </c>
    </row>
    <row r="124" spans="1:54" s="3" customFormat="1" ht="28.5" x14ac:dyDescent="0.2">
      <c r="A124" s="280" t="s">
        <v>420</v>
      </c>
      <c r="B124" s="37" t="s">
        <v>104</v>
      </c>
      <c r="C124" s="37" t="s">
        <v>104</v>
      </c>
      <c r="D124" s="50" t="s">
        <v>421</v>
      </c>
      <c r="E124" s="28" t="s">
        <v>110</v>
      </c>
      <c r="F124" s="352">
        <f>1602.58*1.25</f>
        <v>2003.2249999999999</v>
      </c>
      <c r="G124" s="242">
        <f>'Quat Const.'!F118</f>
        <v>1</v>
      </c>
      <c r="H124" s="242">
        <f t="shared" si="279"/>
        <v>1</v>
      </c>
      <c r="I124" s="37">
        <f t="shared" si="280"/>
        <v>0</v>
      </c>
      <c r="J124" s="37">
        <f t="shared" si="281"/>
        <v>2520.2600000000002</v>
      </c>
      <c r="K124" s="288">
        <f t="shared" si="282"/>
        <v>2520.2600000000002</v>
      </c>
      <c r="L124" s="38">
        <f t="shared" si="283"/>
        <v>0</v>
      </c>
      <c r="M124" s="213">
        <f t="shared" si="284"/>
        <v>0</v>
      </c>
      <c r="N124" s="98"/>
      <c r="O124" s="98">
        <f t="shared" si="285"/>
        <v>0</v>
      </c>
      <c r="P124" s="214">
        <f t="shared" si="286"/>
        <v>0</v>
      </c>
      <c r="Q124" s="98"/>
      <c r="R124" s="98">
        <f t="shared" si="287"/>
        <v>0</v>
      </c>
      <c r="S124" s="214">
        <f t="shared" si="288"/>
        <v>0</v>
      </c>
      <c r="T124" s="98"/>
      <c r="U124" s="98">
        <f t="shared" si="289"/>
        <v>0</v>
      </c>
      <c r="V124" s="214">
        <f t="shared" si="290"/>
        <v>0</v>
      </c>
      <c r="W124" s="98"/>
      <c r="X124" s="98">
        <f t="shared" si="291"/>
        <v>0</v>
      </c>
      <c r="Y124" s="214">
        <f t="shared" si="292"/>
        <v>0</v>
      </c>
      <c r="Z124" s="98"/>
      <c r="AA124" s="98">
        <f t="shared" si="293"/>
        <v>0</v>
      </c>
      <c r="AB124" s="214">
        <f t="shared" si="294"/>
        <v>0</v>
      </c>
      <c r="AC124" s="98"/>
      <c r="AD124" s="98">
        <f t="shared" si="295"/>
        <v>0</v>
      </c>
      <c r="AE124" s="214">
        <f t="shared" si="296"/>
        <v>0</v>
      </c>
      <c r="AF124" s="98"/>
      <c r="AG124" s="98">
        <f t="shared" si="297"/>
        <v>0</v>
      </c>
      <c r="AH124" s="214">
        <f t="shared" si="298"/>
        <v>0</v>
      </c>
      <c r="AI124" s="98"/>
      <c r="AJ124" s="98">
        <f t="shared" si="299"/>
        <v>0</v>
      </c>
      <c r="AK124" s="214">
        <f t="shared" si="300"/>
        <v>0</v>
      </c>
      <c r="AL124" s="98"/>
      <c r="AM124" s="98">
        <f t="shared" si="301"/>
        <v>0</v>
      </c>
      <c r="AN124" s="214">
        <f t="shared" si="302"/>
        <v>0</v>
      </c>
      <c r="AO124" s="98"/>
      <c r="AP124" s="98">
        <f t="shared" si="303"/>
        <v>0</v>
      </c>
      <c r="AQ124" s="214">
        <f t="shared" si="304"/>
        <v>0</v>
      </c>
      <c r="AR124" s="98"/>
      <c r="AS124" s="98">
        <f t="shared" si="305"/>
        <v>0</v>
      </c>
      <c r="AT124" s="214">
        <f t="shared" si="306"/>
        <v>0</v>
      </c>
      <c r="AU124" s="98"/>
      <c r="AV124" s="215">
        <f t="shared" si="307"/>
        <v>0</v>
      </c>
      <c r="AW124" s="214">
        <f t="shared" si="308"/>
        <v>0</v>
      </c>
      <c r="AX124" s="98">
        <f t="shared" si="309"/>
        <v>0</v>
      </c>
      <c r="AY124" s="204">
        <f t="shared" si="310"/>
        <v>0</v>
      </c>
      <c r="AZ124" s="214">
        <f t="shared" si="311"/>
        <v>100</v>
      </c>
      <c r="BA124" s="98">
        <f t="shared" si="312"/>
        <v>1</v>
      </c>
      <c r="BB124" s="204">
        <f t="shared" si="313"/>
        <v>2520.2600000000002</v>
      </c>
    </row>
    <row r="125" spans="1:54" s="3" customFormat="1" ht="28.5" x14ac:dyDescent="0.2">
      <c r="A125" s="280" t="s">
        <v>422</v>
      </c>
      <c r="B125" s="242" t="s">
        <v>104</v>
      </c>
      <c r="C125" s="242" t="s">
        <v>104</v>
      </c>
      <c r="D125" s="281" t="s">
        <v>423</v>
      </c>
      <c r="E125" s="28" t="s">
        <v>424</v>
      </c>
      <c r="F125" s="406">
        <f>99.8824*1.25</f>
        <v>124.85300000000001</v>
      </c>
      <c r="G125" s="242">
        <f>'Quat Const.'!F119</f>
        <v>102.05</v>
      </c>
      <c r="H125" s="242">
        <f t="shared" si="279"/>
        <v>102.05</v>
      </c>
      <c r="I125" s="37">
        <f>H125-G125</f>
        <v>0</v>
      </c>
      <c r="J125" s="37">
        <f>ROUND((F125*(1+$K$8))*(1+$G$8),2)</f>
        <v>157.08000000000001</v>
      </c>
      <c r="K125" s="288">
        <f>TRUNC(J125*G125,2)</f>
        <v>16030.01</v>
      </c>
      <c r="L125" s="38">
        <f t="shared" si="283"/>
        <v>0</v>
      </c>
      <c r="M125" s="213">
        <f>N125/$H125*100</f>
        <v>0</v>
      </c>
      <c r="N125" s="98"/>
      <c r="O125" s="98">
        <f t="shared" si="285"/>
        <v>0</v>
      </c>
      <c r="P125" s="214">
        <f>Q125/$H125*100</f>
        <v>0</v>
      </c>
      <c r="Q125" s="98"/>
      <c r="R125" s="98">
        <f t="shared" si="287"/>
        <v>0</v>
      </c>
      <c r="S125" s="214">
        <f>T125/$H125*100</f>
        <v>0</v>
      </c>
      <c r="T125" s="98"/>
      <c r="U125" s="98">
        <f t="shared" si="289"/>
        <v>0</v>
      </c>
      <c r="V125" s="214">
        <f>W125/$H125*100</f>
        <v>0</v>
      </c>
      <c r="W125" s="98"/>
      <c r="X125" s="98">
        <f t="shared" si="291"/>
        <v>0</v>
      </c>
      <c r="Y125" s="214">
        <f>Z125/$H125*100</f>
        <v>0</v>
      </c>
      <c r="Z125" s="98"/>
      <c r="AA125" s="98">
        <f t="shared" si="293"/>
        <v>0</v>
      </c>
      <c r="AB125" s="214">
        <f>AC125/$H125*100</f>
        <v>0</v>
      </c>
      <c r="AC125" s="98"/>
      <c r="AD125" s="98">
        <f t="shared" si="295"/>
        <v>0</v>
      </c>
      <c r="AE125" s="214">
        <f>AF125/$H125*100</f>
        <v>0</v>
      </c>
      <c r="AF125" s="98"/>
      <c r="AG125" s="98">
        <f t="shared" si="297"/>
        <v>0</v>
      </c>
      <c r="AH125" s="214">
        <f>AI125/$H125*100</f>
        <v>0</v>
      </c>
      <c r="AI125" s="98"/>
      <c r="AJ125" s="98">
        <f t="shared" si="299"/>
        <v>0</v>
      </c>
      <c r="AK125" s="214">
        <f>AL125/$H125*100</f>
        <v>0</v>
      </c>
      <c r="AL125" s="98"/>
      <c r="AM125" s="98">
        <f t="shared" si="301"/>
        <v>0</v>
      </c>
      <c r="AN125" s="214">
        <f>AO125/$H125*100</f>
        <v>0</v>
      </c>
      <c r="AO125" s="98"/>
      <c r="AP125" s="98">
        <f t="shared" si="303"/>
        <v>0</v>
      </c>
      <c r="AQ125" s="214">
        <f>AR125/$H125*100</f>
        <v>0</v>
      </c>
      <c r="AR125" s="98"/>
      <c r="AS125" s="98">
        <f t="shared" si="305"/>
        <v>0</v>
      </c>
      <c r="AT125" s="214">
        <f>AU125/$H125*100</f>
        <v>0</v>
      </c>
      <c r="AU125" s="98"/>
      <c r="AV125" s="215">
        <f t="shared" si="307"/>
        <v>0</v>
      </c>
      <c r="AW125" s="214">
        <f>AX125/$H125*100</f>
        <v>0</v>
      </c>
      <c r="AX125" s="98">
        <f>Q125+N125+T125+W125+Z125+AC125+AF125+AI125+AL125+AO125+AR125+AU125</f>
        <v>0</v>
      </c>
      <c r="AY125" s="204">
        <f t="shared" si="310"/>
        <v>0</v>
      </c>
      <c r="AZ125" s="214">
        <f>BA125/$H125*100</f>
        <v>100</v>
      </c>
      <c r="BA125" s="98">
        <f>H125-AX125</f>
        <v>102.05</v>
      </c>
      <c r="BB125" s="204">
        <f t="shared" si="313"/>
        <v>16030.01</v>
      </c>
    </row>
    <row r="126" spans="1:54" s="3" customFormat="1" ht="28.5" x14ac:dyDescent="0.2">
      <c r="A126" s="280" t="s">
        <v>425</v>
      </c>
      <c r="B126" s="37" t="s">
        <v>104</v>
      </c>
      <c r="C126" s="37" t="s">
        <v>104</v>
      </c>
      <c r="D126" s="92" t="s">
        <v>426</v>
      </c>
      <c r="E126" s="28" t="s">
        <v>427</v>
      </c>
      <c r="F126" s="341">
        <f>77*1.25</f>
        <v>96.25</v>
      </c>
      <c r="G126" s="242">
        <f>'Quat Const.'!F120</f>
        <v>5</v>
      </c>
      <c r="H126" s="242">
        <f t="shared" si="279"/>
        <v>5</v>
      </c>
      <c r="I126" s="37">
        <f t="shared" si="280"/>
        <v>0</v>
      </c>
      <c r="J126" s="37">
        <f t="shared" si="281"/>
        <v>121.09</v>
      </c>
      <c r="K126" s="288">
        <f t="shared" si="282"/>
        <v>605.45000000000005</v>
      </c>
      <c r="L126" s="38">
        <f t="shared" si="283"/>
        <v>0</v>
      </c>
      <c r="M126" s="213">
        <f t="shared" si="284"/>
        <v>0</v>
      </c>
      <c r="N126" s="98"/>
      <c r="O126" s="98">
        <f t="shared" si="285"/>
        <v>0</v>
      </c>
      <c r="P126" s="214">
        <f t="shared" si="286"/>
        <v>0</v>
      </c>
      <c r="Q126" s="98"/>
      <c r="R126" s="98">
        <f t="shared" si="287"/>
        <v>0</v>
      </c>
      <c r="S126" s="214">
        <f t="shared" si="288"/>
        <v>0</v>
      </c>
      <c r="T126" s="98"/>
      <c r="U126" s="98">
        <f t="shared" si="289"/>
        <v>0</v>
      </c>
      <c r="V126" s="214">
        <f t="shared" si="290"/>
        <v>0</v>
      </c>
      <c r="W126" s="98"/>
      <c r="X126" s="98">
        <f t="shared" si="291"/>
        <v>0</v>
      </c>
      <c r="Y126" s="214">
        <f t="shared" si="292"/>
        <v>0</v>
      </c>
      <c r="Z126" s="98"/>
      <c r="AA126" s="98">
        <f t="shared" si="293"/>
        <v>0</v>
      </c>
      <c r="AB126" s="214">
        <f t="shared" si="294"/>
        <v>0</v>
      </c>
      <c r="AC126" s="98"/>
      <c r="AD126" s="98">
        <f t="shared" si="295"/>
        <v>0</v>
      </c>
      <c r="AE126" s="214">
        <f t="shared" si="296"/>
        <v>0</v>
      </c>
      <c r="AF126" s="98"/>
      <c r="AG126" s="98">
        <f t="shared" si="297"/>
        <v>0</v>
      </c>
      <c r="AH126" s="214">
        <f t="shared" si="298"/>
        <v>0</v>
      </c>
      <c r="AI126" s="98"/>
      <c r="AJ126" s="98">
        <f t="shared" si="299"/>
        <v>0</v>
      </c>
      <c r="AK126" s="214">
        <f t="shared" si="300"/>
        <v>0</v>
      </c>
      <c r="AL126" s="98"/>
      <c r="AM126" s="98">
        <f t="shared" si="301"/>
        <v>0</v>
      </c>
      <c r="AN126" s="214">
        <f t="shared" si="302"/>
        <v>0</v>
      </c>
      <c r="AO126" s="98"/>
      <c r="AP126" s="98">
        <f t="shared" si="303"/>
        <v>0</v>
      </c>
      <c r="AQ126" s="214">
        <f t="shared" si="304"/>
        <v>0</v>
      </c>
      <c r="AR126" s="98"/>
      <c r="AS126" s="98">
        <f t="shared" si="305"/>
        <v>0</v>
      </c>
      <c r="AT126" s="214">
        <f t="shared" si="306"/>
        <v>0</v>
      </c>
      <c r="AU126" s="98"/>
      <c r="AV126" s="215">
        <f t="shared" si="307"/>
        <v>0</v>
      </c>
      <c r="AW126" s="214">
        <f t="shared" si="308"/>
        <v>0</v>
      </c>
      <c r="AX126" s="98">
        <f t="shared" si="309"/>
        <v>0</v>
      </c>
      <c r="AY126" s="204">
        <f t="shared" si="310"/>
        <v>0</v>
      </c>
      <c r="AZ126" s="214">
        <f t="shared" si="311"/>
        <v>100</v>
      </c>
      <c r="BA126" s="98">
        <f t="shared" si="312"/>
        <v>5</v>
      </c>
      <c r="BB126" s="204">
        <f t="shared" si="313"/>
        <v>605.45000000000005</v>
      </c>
    </row>
    <row r="127" spans="1:54" s="3" customFormat="1" ht="15" x14ac:dyDescent="0.2">
      <c r="A127" s="280" t="s">
        <v>428</v>
      </c>
      <c r="B127" s="37" t="s">
        <v>104</v>
      </c>
      <c r="C127" s="37" t="s">
        <v>104</v>
      </c>
      <c r="D127" s="98" t="s">
        <v>429</v>
      </c>
      <c r="E127" s="28" t="s">
        <v>110</v>
      </c>
      <c r="F127" s="353">
        <f>1500*1.25</f>
        <v>1875</v>
      </c>
      <c r="G127" s="242">
        <f>'Quat Const.'!F121</f>
        <v>1</v>
      </c>
      <c r="H127" s="242">
        <f t="shared" si="279"/>
        <v>1</v>
      </c>
      <c r="I127" s="37">
        <f t="shared" si="280"/>
        <v>0</v>
      </c>
      <c r="J127" s="37">
        <f t="shared" si="281"/>
        <v>2358.94</v>
      </c>
      <c r="K127" s="288">
        <f t="shared" si="282"/>
        <v>2358.94</v>
      </c>
      <c r="L127" s="38">
        <f t="shared" si="283"/>
        <v>0</v>
      </c>
      <c r="M127" s="213">
        <f t="shared" si="284"/>
        <v>0</v>
      </c>
      <c r="N127" s="98"/>
      <c r="O127" s="98">
        <f t="shared" si="285"/>
        <v>0</v>
      </c>
      <c r="P127" s="214">
        <f t="shared" si="286"/>
        <v>0</v>
      </c>
      <c r="Q127" s="98"/>
      <c r="R127" s="98">
        <f t="shared" si="287"/>
        <v>0</v>
      </c>
      <c r="S127" s="214">
        <f t="shared" si="288"/>
        <v>0</v>
      </c>
      <c r="T127" s="98"/>
      <c r="U127" s="98">
        <f t="shared" si="289"/>
        <v>0</v>
      </c>
      <c r="V127" s="214">
        <f t="shared" si="290"/>
        <v>0</v>
      </c>
      <c r="W127" s="98"/>
      <c r="X127" s="98">
        <f t="shared" si="291"/>
        <v>0</v>
      </c>
      <c r="Y127" s="214">
        <f t="shared" si="292"/>
        <v>0</v>
      </c>
      <c r="Z127" s="98"/>
      <c r="AA127" s="98">
        <f t="shared" si="293"/>
        <v>0</v>
      </c>
      <c r="AB127" s="214">
        <f t="shared" si="294"/>
        <v>0</v>
      </c>
      <c r="AC127" s="98"/>
      <c r="AD127" s="98">
        <f t="shared" si="295"/>
        <v>0</v>
      </c>
      <c r="AE127" s="214">
        <f t="shared" si="296"/>
        <v>0</v>
      </c>
      <c r="AF127" s="98"/>
      <c r="AG127" s="98">
        <f t="shared" si="297"/>
        <v>0</v>
      </c>
      <c r="AH127" s="214">
        <f t="shared" si="298"/>
        <v>0</v>
      </c>
      <c r="AI127" s="98"/>
      <c r="AJ127" s="98">
        <f t="shared" si="299"/>
        <v>0</v>
      </c>
      <c r="AK127" s="214">
        <f t="shared" si="300"/>
        <v>0</v>
      </c>
      <c r="AL127" s="98"/>
      <c r="AM127" s="98">
        <f t="shared" si="301"/>
        <v>0</v>
      </c>
      <c r="AN127" s="214">
        <f t="shared" si="302"/>
        <v>0</v>
      </c>
      <c r="AO127" s="98"/>
      <c r="AP127" s="98">
        <f t="shared" si="303"/>
        <v>0</v>
      </c>
      <c r="AQ127" s="214">
        <f t="shared" si="304"/>
        <v>0</v>
      </c>
      <c r="AR127" s="98"/>
      <c r="AS127" s="98">
        <f t="shared" si="305"/>
        <v>0</v>
      </c>
      <c r="AT127" s="214">
        <f t="shared" si="306"/>
        <v>0</v>
      </c>
      <c r="AU127" s="98"/>
      <c r="AV127" s="215">
        <f t="shared" si="307"/>
        <v>0</v>
      </c>
      <c r="AW127" s="214">
        <f t="shared" si="308"/>
        <v>0</v>
      </c>
      <c r="AX127" s="98">
        <f t="shared" si="309"/>
        <v>0</v>
      </c>
      <c r="AY127" s="204">
        <f t="shared" si="310"/>
        <v>0</v>
      </c>
      <c r="AZ127" s="214">
        <f t="shared" si="311"/>
        <v>100</v>
      </c>
      <c r="BA127" s="98">
        <f t="shared" si="312"/>
        <v>1</v>
      </c>
      <c r="BB127" s="204">
        <f t="shared" si="313"/>
        <v>2358.94</v>
      </c>
    </row>
    <row r="128" spans="1:54" s="3" customFormat="1" ht="15" customHeight="1" x14ac:dyDescent="0.2">
      <c r="A128" s="34"/>
      <c r="B128" s="45"/>
      <c r="C128" s="45"/>
      <c r="D128" s="41"/>
      <c r="E128" s="42"/>
      <c r="F128" s="37"/>
      <c r="G128" s="37"/>
      <c r="H128" s="642" t="s">
        <v>125</v>
      </c>
      <c r="I128" s="642"/>
      <c r="J128" s="642"/>
      <c r="K128" s="172">
        <f>SUM(K121:K127)</f>
        <v>25831.9</v>
      </c>
      <c r="L128" s="43">
        <f>SUM(L121:L127)</f>
        <v>0</v>
      </c>
      <c r="M128" s="648" t="s">
        <v>125</v>
      </c>
      <c r="N128" s="642"/>
      <c r="O128" s="172">
        <f>SUM(O121:O127)</f>
        <v>0</v>
      </c>
      <c r="P128" s="641" t="s">
        <v>125</v>
      </c>
      <c r="Q128" s="642"/>
      <c r="R128" s="172">
        <f>SUM(R121:R127)</f>
        <v>0</v>
      </c>
      <c r="S128" s="641" t="s">
        <v>125</v>
      </c>
      <c r="T128" s="642"/>
      <c r="U128" s="172">
        <f>SUM(U121:U127)</f>
        <v>0</v>
      </c>
      <c r="V128" s="641" t="s">
        <v>125</v>
      </c>
      <c r="W128" s="642"/>
      <c r="X128" s="172">
        <f>SUM(X121:X127)</f>
        <v>0</v>
      </c>
      <c r="Y128" s="641" t="s">
        <v>125</v>
      </c>
      <c r="Z128" s="642"/>
      <c r="AA128" s="172">
        <f>SUM(AA121:AA127)</f>
        <v>0</v>
      </c>
      <c r="AB128" s="641" t="s">
        <v>125</v>
      </c>
      <c r="AC128" s="642"/>
      <c r="AD128" s="172">
        <f>SUM(AD121:AD127)</f>
        <v>0</v>
      </c>
      <c r="AE128" s="641" t="s">
        <v>125</v>
      </c>
      <c r="AF128" s="642"/>
      <c r="AG128" s="172">
        <f>SUM(AG121:AG127)</f>
        <v>0</v>
      </c>
      <c r="AH128" s="641" t="s">
        <v>125</v>
      </c>
      <c r="AI128" s="642"/>
      <c r="AJ128" s="172">
        <f>SUM(AJ121:AJ127)</f>
        <v>0</v>
      </c>
      <c r="AK128" s="641" t="s">
        <v>125</v>
      </c>
      <c r="AL128" s="642"/>
      <c r="AM128" s="172">
        <f>SUM(AM121:AM127)</f>
        <v>0</v>
      </c>
      <c r="AN128" s="641" t="s">
        <v>125</v>
      </c>
      <c r="AO128" s="642"/>
      <c r="AP128" s="172">
        <f>SUM(AP121:AP127)</f>
        <v>0</v>
      </c>
      <c r="AQ128" s="641" t="s">
        <v>125</v>
      </c>
      <c r="AR128" s="642"/>
      <c r="AS128" s="172">
        <f>SUM(AS121:AS127)</f>
        <v>0</v>
      </c>
      <c r="AT128" s="641" t="s">
        <v>125</v>
      </c>
      <c r="AU128" s="642"/>
      <c r="AV128" s="173">
        <f>SUM(AV121:AV127)</f>
        <v>0</v>
      </c>
      <c r="AW128" s="641" t="s">
        <v>125</v>
      </c>
      <c r="AX128" s="642"/>
      <c r="AY128" s="43">
        <f>SUM(AY121:AY127)</f>
        <v>0</v>
      </c>
      <c r="AZ128" s="641" t="s">
        <v>125</v>
      </c>
      <c r="BA128" s="642"/>
      <c r="BB128" s="43">
        <f>SUM(BB120:BB127)</f>
        <v>25831.9</v>
      </c>
    </row>
    <row r="129" spans="1:54" s="3" customFormat="1" ht="15" x14ac:dyDescent="0.2">
      <c r="A129" s="34" t="s">
        <v>430</v>
      </c>
      <c r="B129" s="47"/>
      <c r="C129" s="47"/>
      <c r="D129" s="93" t="s">
        <v>431</v>
      </c>
      <c r="E129" s="45"/>
      <c r="F129" s="37"/>
      <c r="G129" s="99"/>
      <c r="H129" s="259"/>
      <c r="I129" s="29"/>
      <c r="J129" s="30"/>
      <c r="K129" s="30"/>
      <c r="L129" s="38"/>
      <c r="M129" s="213"/>
      <c r="N129" s="98"/>
      <c r="O129" s="98"/>
      <c r="P129" s="214"/>
      <c r="Q129" s="98"/>
      <c r="R129" s="98"/>
      <c r="S129" s="214"/>
      <c r="T129" s="98"/>
      <c r="U129" s="98"/>
      <c r="V129" s="214"/>
      <c r="W129" s="98"/>
      <c r="X129" s="98"/>
      <c r="Y129" s="214"/>
      <c r="Z129" s="98"/>
      <c r="AA129" s="98"/>
      <c r="AB129" s="214"/>
      <c r="AC129" s="98"/>
      <c r="AD129" s="98"/>
      <c r="AE129" s="214"/>
      <c r="AF129" s="98"/>
      <c r="AG129" s="98"/>
      <c r="AH129" s="214"/>
      <c r="AI129" s="98"/>
      <c r="AJ129" s="98"/>
      <c r="AK129" s="214"/>
      <c r="AL129" s="98"/>
      <c r="AM129" s="98"/>
      <c r="AN129" s="214"/>
      <c r="AO129" s="98"/>
      <c r="AP129" s="98"/>
      <c r="AQ129" s="214"/>
      <c r="AR129" s="98"/>
      <c r="AS129" s="98"/>
      <c r="AT129" s="214"/>
      <c r="AU129" s="98"/>
      <c r="AV129" s="215"/>
      <c r="AW129" s="214"/>
      <c r="AX129" s="98"/>
      <c r="AY129" s="204"/>
      <c r="AZ129" s="214"/>
      <c r="BA129" s="98"/>
      <c r="BB129" s="204"/>
    </row>
    <row r="130" spans="1:54" s="3" customFormat="1" ht="28.5" x14ac:dyDescent="0.2">
      <c r="A130" s="39" t="s">
        <v>432</v>
      </c>
      <c r="B130" s="338" t="s">
        <v>433</v>
      </c>
      <c r="C130" s="28" t="s">
        <v>434</v>
      </c>
      <c r="D130" s="50" t="s">
        <v>435</v>
      </c>
      <c r="E130" s="28" t="s">
        <v>98</v>
      </c>
      <c r="F130" s="339">
        <v>32.64</v>
      </c>
      <c r="G130" s="99">
        <f>'Quat Const.'!F125</f>
        <v>420.2</v>
      </c>
      <c r="H130" s="259">
        <f t="shared" ref="H130:H138" si="314">G130</f>
        <v>420.2</v>
      </c>
      <c r="I130" s="37">
        <f t="shared" ref="I130:I138" si="315">H130-G130</f>
        <v>0</v>
      </c>
      <c r="J130" s="37">
        <f t="shared" ref="J130:J138" si="316">ROUND((F130*(1+$K$8))*(1+$G$8),2)</f>
        <v>41.06</v>
      </c>
      <c r="K130" s="288">
        <f t="shared" ref="K130:K138" si="317">TRUNC(J130*G130,2)</f>
        <v>17253.41</v>
      </c>
      <c r="L130" s="38">
        <f t="shared" ref="L130:L138" si="318">TRUNC(J130*I130,2)</f>
        <v>0</v>
      </c>
      <c r="M130" s="213">
        <f t="shared" ref="M130:M138" si="319">N130/$H130*100</f>
        <v>0</v>
      </c>
      <c r="N130" s="98"/>
      <c r="O130" s="98">
        <f t="shared" ref="O130:O138" si="320">TRUNC(N130*$J130,2)</f>
        <v>0</v>
      </c>
      <c r="P130" s="214">
        <f t="shared" ref="P130:P138" si="321">Q130/$H130*100</f>
        <v>0</v>
      </c>
      <c r="Q130" s="98"/>
      <c r="R130" s="98">
        <f t="shared" ref="R130:R138" si="322">TRUNC(Q130*$J130,2)</f>
        <v>0</v>
      </c>
      <c r="S130" s="214">
        <f t="shared" ref="S130:S138" si="323">T130/$H130*100</f>
        <v>0</v>
      </c>
      <c r="T130" s="98"/>
      <c r="U130" s="98">
        <f t="shared" ref="U130:U138" si="324">TRUNC(T130*$J130,2)</f>
        <v>0</v>
      </c>
      <c r="V130" s="214">
        <f t="shared" ref="V130:V138" si="325">W130/$H130*100</f>
        <v>0</v>
      </c>
      <c r="W130" s="98"/>
      <c r="X130" s="98">
        <f t="shared" ref="X130:X138" si="326">TRUNC(W130*$J130,2)</f>
        <v>0</v>
      </c>
      <c r="Y130" s="214">
        <f t="shared" ref="Y130:Y138" si="327">Z130/$H130*100</f>
        <v>0</v>
      </c>
      <c r="Z130" s="98"/>
      <c r="AA130" s="98">
        <f t="shared" ref="AA130:AA138" si="328">TRUNC(Z130*$J130,2)</f>
        <v>0</v>
      </c>
      <c r="AB130" s="214">
        <f t="shared" ref="AB130:AB138" si="329">AC130/$H130*100</f>
        <v>0</v>
      </c>
      <c r="AC130" s="98"/>
      <c r="AD130" s="98">
        <f t="shared" ref="AD130:AD138" si="330">TRUNC(AC130*$J130,2)</f>
        <v>0</v>
      </c>
      <c r="AE130" s="214">
        <f t="shared" ref="AE130:AE138" si="331">AF130/$H130*100</f>
        <v>0</v>
      </c>
      <c r="AF130" s="98"/>
      <c r="AG130" s="98">
        <f t="shared" ref="AG130:AG138" si="332">TRUNC(AF130*$J130,2)</f>
        <v>0</v>
      </c>
      <c r="AH130" s="214">
        <f t="shared" ref="AH130:AH138" si="333">AI130/$H130*100</f>
        <v>0</v>
      </c>
      <c r="AI130" s="98"/>
      <c r="AJ130" s="98">
        <f t="shared" ref="AJ130:AJ138" si="334">TRUNC(AI130*$J130,2)</f>
        <v>0</v>
      </c>
      <c r="AK130" s="214">
        <f t="shared" ref="AK130:AK138" si="335">AL130/$H130*100</f>
        <v>0</v>
      </c>
      <c r="AL130" s="98"/>
      <c r="AM130" s="98">
        <f t="shared" ref="AM130:AM138" si="336">TRUNC(AL130*$J130,2)</f>
        <v>0</v>
      </c>
      <c r="AN130" s="214">
        <f t="shared" ref="AN130:AN138" si="337">AO130/$H130*100</f>
        <v>0</v>
      </c>
      <c r="AO130" s="98"/>
      <c r="AP130" s="98">
        <f t="shared" ref="AP130:AP138" si="338">TRUNC(AO130*$J130,2)</f>
        <v>0</v>
      </c>
      <c r="AQ130" s="214">
        <f t="shared" ref="AQ130:AQ138" si="339">AR130/$H130*100</f>
        <v>0</v>
      </c>
      <c r="AR130" s="98"/>
      <c r="AS130" s="98">
        <f t="shared" ref="AS130:AS138" si="340">TRUNC(AR130*$J130,2)</f>
        <v>0</v>
      </c>
      <c r="AT130" s="214">
        <f t="shared" ref="AT130:AT138" si="341">AU130/$H130*100</f>
        <v>0</v>
      </c>
      <c r="AU130" s="98"/>
      <c r="AV130" s="215">
        <f t="shared" ref="AV130:AV138" si="342">TRUNC(AU130*$J130,2)</f>
        <v>0</v>
      </c>
      <c r="AW130" s="214">
        <f t="shared" ref="AW130:AW138" si="343">AX130/$H130*100</f>
        <v>0</v>
      </c>
      <c r="AX130" s="98">
        <f t="shared" ref="AX130:AX138" si="344">Q130+N130+T130+W130+Z130+AC130+AF130+AI130+AL130+AO130+AR130+AU130</f>
        <v>0</v>
      </c>
      <c r="AY130" s="204">
        <f t="shared" ref="AY130:AY138" si="345">TRUNC(AX130*$J130,2)</f>
        <v>0</v>
      </c>
      <c r="AZ130" s="214">
        <f t="shared" ref="AZ130:AZ138" si="346">BA130/$H130*100</f>
        <v>100</v>
      </c>
      <c r="BA130" s="98">
        <f t="shared" ref="BA130:BA138" si="347">H130-AX130</f>
        <v>420.2</v>
      </c>
      <c r="BB130" s="204">
        <f t="shared" ref="BB130:BB138" si="348">TRUNC(BA130*$J130,2)</f>
        <v>17253.41</v>
      </c>
    </row>
    <row r="131" spans="1:54" s="3" customFormat="1" ht="28.5" x14ac:dyDescent="0.2">
      <c r="A131" s="39" t="s">
        <v>436</v>
      </c>
      <c r="B131" s="338" t="s">
        <v>437</v>
      </c>
      <c r="C131" s="28" t="s">
        <v>438</v>
      </c>
      <c r="D131" s="50" t="s">
        <v>439</v>
      </c>
      <c r="E131" s="28" t="s">
        <v>275</v>
      </c>
      <c r="F131" s="339">
        <v>51.81</v>
      </c>
      <c r="G131" s="99">
        <f>'Quat Const.'!F126</f>
        <v>104</v>
      </c>
      <c r="H131" s="259">
        <f t="shared" si="314"/>
        <v>104</v>
      </c>
      <c r="I131" s="37">
        <f t="shared" si="315"/>
        <v>0</v>
      </c>
      <c r="J131" s="37">
        <f t="shared" si="316"/>
        <v>65.180000000000007</v>
      </c>
      <c r="K131" s="288">
        <f t="shared" si="317"/>
        <v>6778.72</v>
      </c>
      <c r="L131" s="38">
        <f t="shared" si="318"/>
        <v>0</v>
      </c>
      <c r="M131" s="213">
        <f t="shared" si="319"/>
        <v>0</v>
      </c>
      <c r="N131" s="98"/>
      <c r="O131" s="98">
        <f t="shared" si="320"/>
        <v>0</v>
      </c>
      <c r="P131" s="214">
        <f t="shared" si="321"/>
        <v>0</v>
      </c>
      <c r="Q131" s="98"/>
      <c r="R131" s="98">
        <f t="shared" si="322"/>
        <v>0</v>
      </c>
      <c r="S131" s="214">
        <f t="shared" si="323"/>
        <v>0</v>
      </c>
      <c r="T131" s="98"/>
      <c r="U131" s="98">
        <f t="shared" si="324"/>
        <v>0</v>
      </c>
      <c r="V131" s="214">
        <f t="shared" si="325"/>
        <v>0</v>
      </c>
      <c r="W131" s="98"/>
      <c r="X131" s="98">
        <f t="shared" si="326"/>
        <v>0</v>
      </c>
      <c r="Y131" s="214">
        <f t="shared" si="327"/>
        <v>0</v>
      </c>
      <c r="Z131" s="98"/>
      <c r="AA131" s="98">
        <f t="shared" si="328"/>
        <v>0</v>
      </c>
      <c r="AB131" s="214">
        <f t="shared" si="329"/>
        <v>0</v>
      </c>
      <c r="AC131" s="98"/>
      <c r="AD131" s="98">
        <f t="shared" si="330"/>
        <v>0</v>
      </c>
      <c r="AE131" s="214">
        <f t="shared" si="331"/>
        <v>0</v>
      </c>
      <c r="AF131" s="98"/>
      <c r="AG131" s="98">
        <f t="shared" si="332"/>
        <v>0</v>
      </c>
      <c r="AH131" s="214">
        <f t="shared" si="333"/>
        <v>0</v>
      </c>
      <c r="AI131" s="98"/>
      <c r="AJ131" s="98">
        <f t="shared" si="334"/>
        <v>0</v>
      </c>
      <c r="AK131" s="214">
        <f t="shared" si="335"/>
        <v>0</v>
      </c>
      <c r="AL131" s="98"/>
      <c r="AM131" s="98">
        <f t="shared" si="336"/>
        <v>0</v>
      </c>
      <c r="AN131" s="214">
        <f t="shared" si="337"/>
        <v>0</v>
      </c>
      <c r="AO131" s="98"/>
      <c r="AP131" s="98">
        <f t="shared" si="338"/>
        <v>0</v>
      </c>
      <c r="AQ131" s="214">
        <f t="shared" si="339"/>
        <v>0</v>
      </c>
      <c r="AR131" s="98"/>
      <c r="AS131" s="98">
        <f t="shared" si="340"/>
        <v>0</v>
      </c>
      <c r="AT131" s="214">
        <f t="shared" si="341"/>
        <v>0</v>
      </c>
      <c r="AU131" s="98"/>
      <c r="AV131" s="215">
        <f t="shared" si="342"/>
        <v>0</v>
      </c>
      <c r="AW131" s="214">
        <f t="shared" si="343"/>
        <v>0</v>
      </c>
      <c r="AX131" s="98">
        <f t="shared" si="344"/>
        <v>0</v>
      </c>
      <c r="AY131" s="204">
        <f t="shared" si="345"/>
        <v>0</v>
      </c>
      <c r="AZ131" s="214">
        <f t="shared" si="346"/>
        <v>100</v>
      </c>
      <c r="BA131" s="98">
        <f t="shared" si="347"/>
        <v>104</v>
      </c>
      <c r="BB131" s="204">
        <f t="shared" si="348"/>
        <v>6778.72</v>
      </c>
    </row>
    <row r="132" spans="1:54" s="3" customFormat="1" ht="15" x14ac:dyDescent="0.2">
      <c r="A132" s="39" t="s">
        <v>440</v>
      </c>
      <c r="B132" s="338" t="s">
        <v>441</v>
      </c>
      <c r="C132" s="28" t="s">
        <v>442</v>
      </c>
      <c r="D132" s="58" t="s">
        <v>443</v>
      </c>
      <c r="E132" s="28" t="s">
        <v>119</v>
      </c>
      <c r="F132" s="339">
        <v>61.65</v>
      </c>
      <c r="G132" s="99">
        <f>'Quat Const.'!F127</f>
        <v>5.38</v>
      </c>
      <c r="H132" s="259">
        <f t="shared" si="314"/>
        <v>5.38</v>
      </c>
      <c r="I132" s="37">
        <f t="shared" si="315"/>
        <v>0</v>
      </c>
      <c r="J132" s="37">
        <f t="shared" si="316"/>
        <v>77.56</v>
      </c>
      <c r="K132" s="288">
        <f t="shared" si="317"/>
        <v>417.27</v>
      </c>
      <c r="L132" s="38">
        <f t="shared" si="318"/>
        <v>0</v>
      </c>
      <c r="M132" s="213">
        <f t="shared" si="319"/>
        <v>0</v>
      </c>
      <c r="N132" s="98"/>
      <c r="O132" s="98">
        <f t="shared" si="320"/>
        <v>0</v>
      </c>
      <c r="P132" s="214">
        <f t="shared" si="321"/>
        <v>0</v>
      </c>
      <c r="Q132" s="98"/>
      <c r="R132" s="98">
        <f t="shared" si="322"/>
        <v>0</v>
      </c>
      <c r="S132" s="214">
        <f t="shared" si="323"/>
        <v>0</v>
      </c>
      <c r="T132" s="98"/>
      <c r="U132" s="98">
        <f t="shared" si="324"/>
        <v>0</v>
      </c>
      <c r="V132" s="214">
        <f t="shared" si="325"/>
        <v>0</v>
      </c>
      <c r="W132" s="98"/>
      <c r="X132" s="98">
        <f t="shared" si="326"/>
        <v>0</v>
      </c>
      <c r="Y132" s="214">
        <f t="shared" si="327"/>
        <v>0</v>
      </c>
      <c r="Z132" s="98"/>
      <c r="AA132" s="98">
        <f t="shared" si="328"/>
        <v>0</v>
      </c>
      <c r="AB132" s="214">
        <f t="shared" si="329"/>
        <v>0</v>
      </c>
      <c r="AC132" s="98"/>
      <c r="AD132" s="98">
        <f t="shared" si="330"/>
        <v>0</v>
      </c>
      <c r="AE132" s="214">
        <f t="shared" si="331"/>
        <v>0</v>
      </c>
      <c r="AF132" s="98"/>
      <c r="AG132" s="98">
        <f t="shared" si="332"/>
        <v>0</v>
      </c>
      <c r="AH132" s="214">
        <f t="shared" si="333"/>
        <v>0</v>
      </c>
      <c r="AI132" s="98"/>
      <c r="AJ132" s="98">
        <f t="shared" si="334"/>
        <v>0</v>
      </c>
      <c r="AK132" s="214">
        <f t="shared" si="335"/>
        <v>0</v>
      </c>
      <c r="AL132" s="98"/>
      <c r="AM132" s="98">
        <f t="shared" si="336"/>
        <v>0</v>
      </c>
      <c r="AN132" s="214">
        <f t="shared" si="337"/>
        <v>0</v>
      </c>
      <c r="AO132" s="98"/>
      <c r="AP132" s="98">
        <f t="shared" si="338"/>
        <v>0</v>
      </c>
      <c r="AQ132" s="214">
        <f t="shared" si="339"/>
        <v>0</v>
      </c>
      <c r="AR132" s="98"/>
      <c r="AS132" s="98">
        <f t="shared" si="340"/>
        <v>0</v>
      </c>
      <c r="AT132" s="214">
        <f t="shared" si="341"/>
        <v>0</v>
      </c>
      <c r="AU132" s="98"/>
      <c r="AV132" s="215">
        <f t="shared" si="342"/>
        <v>0</v>
      </c>
      <c r="AW132" s="214">
        <f t="shared" si="343"/>
        <v>0</v>
      </c>
      <c r="AX132" s="98">
        <f t="shared" si="344"/>
        <v>0</v>
      </c>
      <c r="AY132" s="204">
        <f t="shared" si="345"/>
        <v>0</v>
      </c>
      <c r="AZ132" s="214">
        <f t="shared" si="346"/>
        <v>100</v>
      </c>
      <c r="BA132" s="98">
        <f t="shared" si="347"/>
        <v>5.38</v>
      </c>
      <c r="BB132" s="204">
        <f t="shared" si="348"/>
        <v>417.27</v>
      </c>
    </row>
    <row r="133" spans="1:54" s="3" customFormat="1" ht="15" x14ac:dyDescent="0.2">
      <c r="A133" s="39" t="s">
        <v>444</v>
      </c>
      <c r="B133" s="338" t="s">
        <v>445</v>
      </c>
      <c r="C133" s="28" t="s">
        <v>446</v>
      </c>
      <c r="D133" s="58" t="s">
        <v>447</v>
      </c>
      <c r="E133" s="28" t="s">
        <v>98</v>
      </c>
      <c r="F133" s="339">
        <v>5.16</v>
      </c>
      <c r="G133" s="99">
        <f>'Quat Const.'!F128</f>
        <v>215</v>
      </c>
      <c r="H133" s="259">
        <f t="shared" si="314"/>
        <v>215</v>
      </c>
      <c r="I133" s="37">
        <f t="shared" si="315"/>
        <v>0</v>
      </c>
      <c r="J133" s="37">
        <f t="shared" si="316"/>
        <v>6.49</v>
      </c>
      <c r="K133" s="288">
        <f t="shared" si="317"/>
        <v>1395.35</v>
      </c>
      <c r="L133" s="38">
        <f t="shared" si="318"/>
        <v>0</v>
      </c>
      <c r="M133" s="213">
        <f t="shared" si="319"/>
        <v>0</v>
      </c>
      <c r="N133" s="98"/>
      <c r="O133" s="98">
        <f t="shared" si="320"/>
        <v>0</v>
      </c>
      <c r="P133" s="214">
        <f t="shared" si="321"/>
        <v>0</v>
      </c>
      <c r="Q133" s="98"/>
      <c r="R133" s="98">
        <f t="shared" si="322"/>
        <v>0</v>
      </c>
      <c r="S133" s="214">
        <f t="shared" si="323"/>
        <v>0</v>
      </c>
      <c r="T133" s="98"/>
      <c r="U133" s="98">
        <f t="shared" si="324"/>
        <v>0</v>
      </c>
      <c r="V133" s="214">
        <f t="shared" si="325"/>
        <v>0</v>
      </c>
      <c r="W133" s="98"/>
      <c r="X133" s="98">
        <f t="shared" si="326"/>
        <v>0</v>
      </c>
      <c r="Y133" s="214">
        <f t="shared" si="327"/>
        <v>0</v>
      </c>
      <c r="Z133" s="98"/>
      <c r="AA133" s="98">
        <f t="shared" si="328"/>
        <v>0</v>
      </c>
      <c r="AB133" s="214">
        <f t="shared" si="329"/>
        <v>0</v>
      </c>
      <c r="AC133" s="98"/>
      <c r="AD133" s="98">
        <f t="shared" si="330"/>
        <v>0</v>
      </c>
      <c r="AE133" s="214">
        <f t="shared" si="331"/>
        <v>0</v>
      </c>
      <c r="AF133" s="98"/>
      <c r="AG133" s="98">
        <f t="shared" si="332"/>
        <v>0</v>
      </c>
      <c r="AH133" s="214">
        <f t="shared" si="333"/>
        <v>0</v>
      </c>
      <c r="AI133" s="98"/>
      <c r="AJ133" s="98">
        <f t="shared" si="334"/>
        <v>0</v>
      </c>
      <c r="AK133" s="214">
        <f t="shared" si="335"/>
        <v>0</v>
      </c>
      <c r="AL133" s="98"/>
      <c r="AM133" s="98">
        <f t="shared" si="336"/>
        <v>0</v>
      </c>
      <c r="AN133" s="214">
        <f t="shared" si="337"/>
        <v>0</v>
      </c>
      <c r="AO133" s="98"/>
      <c r="AP133" s="98">
        <f t="shared" si="338"/>
        <v>0</v>
      </c>
      <c r="AQ133" s="214">
        <f t="shared" si="339"/>
        <v>0</v>
      </c>
      <c r="AR133" s="98"/>
      <c r="AS133" s="98">
        <f t="shared" si="340"/>
        <v>0</v>
      </c>
      <c r="AT133" s="214">
        <f t="shared" si="341"/>
        <v>0</v>
      </c>
      <c r="AU133" s="98"/>
      <c r="AV133" s="215">
        <f t="shared" si="342"/>
        <v>0</v>
      </c>
      <c r="AW133" s="214">
        <f t="shared" si="343"/>
        <v>0</v>
      </c>
      <c r="AX133" s="98">
        <f t="shared" si="344"/>
        <v>0</v>
      </c>
      <c r="AY133" s="204">
        <f t="shared" si="345"/>
        <v>0</v>
      </c>
      <c r="AZ133" s="214">
        <f t="shared" si="346"/>
        <v>100</v>
      </c>
      <c r="BA133" s="98">
        <f t="shared" si="347"/>
        <v>215</v>
      </c>
      <c r="BB133" s="204">
        <f t="shared" si="348"/>
        <v>1395.35</v>
      </c>
    </row>
    <row r="134" spans="1:54" s="3" customFormat="1" ht="15" x14ac:dyDescent="0.2">
      <c r="A134" s="39" t="s">
        <v>448</v>
      </c>
      <c r="B134" s="338" t="s">
        <v>174</v>
      </c>
      <c r="C134" s="28" t="s">
        <v>175</v>
      </c>
      <c r="D134" s="58" t="s">
        <v>176</v>
      </c>
      <c r="E134" s="28" t="s">
        <v>119</v>
      </c>
      <c r="F134" s="339">
        <v>20.56</v>
      </c>
      <c r="G134" s="37">
        <f>0.5*0.8*314.54</f>
        <v>125.81600000000002</v>
      </c>
      <c r="H134" s="259">
        <f t="shared" si="314"/>
        <v>125.81600000000002</v>
      </c>
      <c r="I134" s="37">
        <f t="shared" si="315"/>
        <v>0</v>
      </c>
      <c r="J134" s="37">
        <f t="shared" si="316"/>
        <v>25.87</v>
      </c>
      <c r="K134" s="288">
        <f t="shared" si="317"/>
        <v>3254.85</v>
      </c>
      <c r="L134" s="38">
        <f t="shared" si="318"/>
        <v>0</v>
      </c>
      <c r="M134" s="213">
        <f t="shared" si="319"/>
        <v>0</v>
      </c>
      <c r="N134" s="98"/>
      <c r="O134" s="98">
        <f t="shared" si="320"/>
        <v>0</v>
      </c>
      <c r="P134" s="214">
        <f t="shared" si="321"/>
        <v>0</v>
      </c>
      <c r="Q134" s="98"/>
      <c r="R134" s="98">
        <f t="shared" si="322"/>
        <v>0</v>
      </c>
      <c r="S134" s="214">
        <f t="shared" si="323"/>
        <v>0</v>
      </c>
      <c r="T134" s="98"/>
      <c r="U134" s="98">
        <f t="shared" si="324"/>
        <v>0</v>
      </c>
      <c r="V134" s="214">
        <f t="shared" si="325"/>
        <v>0</v>
      </c>
      <c r="W134" s="98"/>
      <c r="X134" s="98">
        <f t="shared" si="326"/>
        <v>0</v>
      </c>
      <c r="Y134" s="214">
        <f t="shared" si="327"/>
        <v>0</v>
      </c>
      <c r="Z134" s="98"/>
      <c r="AA134" s="98">
        <f t="shared" si="328"/>
        <v>0</v>
      </c>
      <c r="AB134" s="214">
        <f t="shared" si="329"/>
        <v>0</v>
      </c>
      <c r="AC134" s="98"/>
      <c r="AD134" s="98">
        <f t="shared" si="330"/>
        <v>0</v>
      </c>
      <c r="AE134" s="214">
        <f t="shared" si="331"/>
        <v>0</v>
      </c>
      <c r="AF134" s="98"/>
      <c r="AG134" s="98">
        <f t="shared" si="332"/>
        <v>0</v>
      </c>
      <c r="AH134" s="214">
        <f t="shared" si="333"/>
        <v>0</v>
      </c>
      <c r="AI134" s="98"/>
      <c r="AJ134" s="98">
        <f t="shared" si="334"/>
        <v>0</v>
      </c>
      <c r="AK134" s="214">
        <f t="shared" si="335"/>
        <v>0</v>
      </c>
      <c r="AL134" s="98"/>
      <c r="AM134" s="98">
        <f t="shared" si="336"/>
        <v>0</v>
      </c>
      <c r="AN134" s="214">
        <f t="shared" si="337"/>
        <v>0</v>
      </c>
      <c r="AO134" s="98"/>
      <c r="AP134" s="98">
        <f t="shared" si="338"/>
        <v>0</v>
      </c>
      <c r="AQ134" s="214">
        <f t="shared" si="339"/>
        <v>0</v>
      </c>
      <c r="AR134" s="98"/>
      <c r="AS134" s="98">
        <f t="shared" si="340"/>
        <v>0</v>
      </c>
      <c r="AT134" s="214">
        <f t="shared" si="341"/>
        <v>0</v>
      </c>
      <c r="AU134" s="98"/>
      <c r="AV134" s="215">
        <f t="shared" si="342"/>
        <v>0</v>
      </c>
      <c r="AW134" s="214">
        <f t="shared" si="343"/>
        <v>0</v>
      </c>
      <c r="AX134" s="98">
        <f t="shared" si="344"/>
        <v>0</v>
      </c>
      <c r="AY134" s="204">
        <f t="shared" si="345"/>
        <v>0</v>
      </c>
      <c r="AZ134" s="214">
        <f t="shared" si="346"/>
        <v>100</v>
      </c>
      <c r="BA134" s="98">
        <f t="shared" si="347"/>
        <v>125.81600000000002</v>
      </c>
      <c r="BB134" s="204">
        <f t="shared" si="348"/>
        <v>3254.85</v>
      </c>
    </row>
    <row r="135" spans="1:54" s="3" customFormat="1" ht="15" x14ac:dyDescent="0.2">
      <c r="A135" s="39" t="s">
        <v>449</v>
      </c>
      <c r="B135" s="338" t="s">
        <v>450</v>
      </c>
      <c r="C135" s="28" t="s">
        <v>451</v>
      </c>
      <c r="D135" s="58" t="s">
        <v>452</v>
      </c>
      <c r="E135" s="28" t="s">
        <v>119</v>
      </c>
      <c r="F135" s="339">
        <v>21.24</v>
      </c>
      <c r="G135" s="37">
        <f>G134-((3.14*(0.2^2)*314.54))</f>
        <v>86.309775999999999</v>
      </c>
      <c r="H135" s="259">
        <f t="shared" si="314"/>
        <v>86.309775999999999</v>
      </c>
      <c r="I135" s="37">
        <f t="shared" si="315"/>
        <v>0</v>
      </c>
      <c r="J135" s="37">
        <f t="shared" si="316"/>
        <v>26.72</v>
      </c>
      <c r="K135" s="288">
        <f t="shared" si="317"/>
        <v>2306.19</v>
      </c>
      <c r="L135" s="38">
        <f t="shared" si="318"/>
        <v>0</v>
      </c>
      <c r="M135" s="213">
        <f t="shared" si="319"/>
        <v>0</v>
      </c>
      <c r="N135" s="98"/>
      <c r="O135" s="98">
        <f t="shared" si="320"/>
        <v>0</v>
      </c>
      <c r="P135" s="214">
        <f t="shared" si="321"/>
        <v>0</v>
      </c>
      <c r="Q135" s="98"/>
      <c r="R135" s="98">
        <f t="shared" si="322"/>
        <v>0</v>
      </c>
      <c r="S135" s="214">
        <f t="shared" si="323"/>
        <v>0</v>
      </c>
      <c r="T135" s="98"/>
      <c r="U135" s="98">
        <f t="shared" si="324"/>
        <v>0</v>
      </c>
      <c r="V135" s="214">
        <f t="shared" si="325"/>
        <v>0</v>
      </c>
      <c r="W135" s="98"/>
      <c r="X135" s="98">
        <f t="shared" si="326"/>
        <v>0</v>
      </c>
      <c r="Y135" s="214">
        <f t="shared" si="327"/>
        <v>0</v>
      </c>
      <c r="Z135" s="98"/>
      <c r="AA135" s="98">
        <f t="shared" si="328"/>
        <v>0</v>
      </c>
      <c r="AB135" s="214">
        <f t="shared" si="329"/>
        <v>0</v>
      </c>
      <c r="AC135" s="98"/>
      <c r="AD135" s="98">
        <f t="shared" si="330"/>
        <v>0</v>
      </c>
      <c r="AE135" s="214">
        <f t="shared" si="331"/>
        <v>0</v>
      </c>
      <c r="AF135" s="98"/>
      <c r="AG135" s="98">
        <f t="shared" si="332"/>
        <v>0</v>
      </c>
      <c r="AH135" s="214">
        <f t="shared" si="333"/>
        <v>0</v>
      </c>
      <c r="AI135" s="98"/>
      <c r="AJ135" s="98">
        <f t="shared" si="334"/>
        <v>0</v>
      </c>
      <c r="AK135" s="214">
        <f t="shared" si="335"/>
        <v>0</v>
      </c>
      <c r="AL135" s="98"/>
      <c r="AM135" s="98">
        <f t="shared" si="336"/>
        <v>0</v>
      </c>
      <c r="AN135" s="214">
        <f t="shared" si="337"/>
        <v>0</v>
      </c>
      <c r="AO135" s="98"/>
      <c r="AP135" s="98">
        <f t="shared" si="338"/>
        <v>0</v>
      </c>
      <c r="AQ135" s="214">
        <f t="shared" si="339"/>
        <v>0</v>
      </c>
      <c r="AR135" s="98"/>
      <c r="AS135" s="98">
        <f t="shared" si="340"/>
        <v>0</v>
      </c>
      <c r="AT135" s="214">
        <f t="shared" si="341"/>
        <v>0</v>
      </c>
      <c r="AU135" s="98"/>
      <c r="AV135" s="215">
        <f t="shared" si="342"/>
        <v>0</v>
      </c>
      <c r="AW135" s="214">
        <f t="shared" si="343"/>
        <v>0</v>
      </c>
      <c r="AX135" s="98">
        <f t="shared" si="344"/>
        <v>0</v>
      </c>
      <c r="AY135" s="204">
        <f t="shared" si="345"/>
        <v>0</v>
      </c>
      <c r="AZ135" s="214">
        <f t="shared" si="346"/>
        <v>100</v>
      </c>
      <c r="BA135" s="98">
        <f t="shared" si="347"/>
        <v>86.309775999999999</v>
      </c>
      <c r="BB135" s="204">
        <f t="shared" si="348"/>
        <v>2306.19</v>
      </c>
    </row>
    <row r="136" spans="1:54" s="3" customFormat="1" ht="42.75" x14ac:dyDescent="0.2">
      <c r="A136" s="39" t="s">
        <v>453</v>
      </c>
      <c r="B136" s="338" t="s">
        <v>454</v>
      </c>
      <c r="C136" s="28" t="s">
        <v>455</v>
      </c>
      <c r="D136" s="50" t="s">
        <v>456</v>
      </c>
      <c r="E136" s="28" t="s">
        <v>110</v>
      </c>
      <c r="F136" s="339">
        <v>236.36</v>
      </c>
      <c r="G136" s="44">
        <v>2</v>
      </c>
      <c r="H136" s="259">
        <f t="shared" si="314"/>
        <v>2</v>
      </c>
      <c r="I136" s="37">
        <f t="shared" si="315"/>
        <v>0</v>
      </c>
      <c r="J136" s="37">
        <f t="shared" si="316"/>
        <v>297.36</v>
      </c>
      <c r="K136" s="288">
        <f t="shared" si="317"/>
        <v>594.72</v>
      </c>
      <c r="L136" s="38">
        <f t="shared" si="318"/>
        <v>0</v>
      </c>
      <c r="M136" s="213">
        <f t="shared" si="319"/>
        <v>0</v>
      </c>
      <c r="N136" s="98"/>
      <c r="O136" s="98">
        <f t="shared" si="320"/>
        <v>0</v>
      </c>
      <c r="P136" s="214">
        <f t="shared" si="321"/>
        <v>0</v>
      </c>
      <c r="Q136" s="98"/>
      <c r="R136" s="98">
        <f t="shared" si="322"/>
        <v>0</v>
      </c>
      <c r="S136" s="214">
        <f t="shared" si="323"/>
        <v>0</v>
      </c>
      <c r="T136" s="98"/>
      <c r="U136" s="98">
        <f t="shared" si="324"/>
        <v>0</v>
      </c>
      <c r="V136" s="214">
        <f t="shared" si="325"/>
        <v>0</v>
      </c>
      <c r="W136" s="98"/>
      <c r="X136" s="98">
        <f t="shared" si="326"/>
        <v>0</v>
      </c>
      <c r="Y136" s="214">
        <f t="shared" si="327"/>
        <v>0</v>
      </c>
      <c r="Z136" s="98"/>
      <c r="AA136" s="98">
        <f t="shared" si="328"/>
        <v>0</v>
      </c>
      <c r="AB136" s="214">
        <f t="shared" si="329"/>
        <v>0</v>
      </c>
      <c r="AC136" s="98"/>
      <c r="AD136" s="98">
        <f t="shared" si="330"/>
        <v>0</v>
      </c>
      <c r="AE136" s="214">
        <f t="shared" si="331"/>
        <v>0</v>
      </c>
      <c r="AF136" s="98"/>
      <c r="AG136" s="98">
        <f t="shared" si="332"/>
        <v>0</v>
      </c>
      <c r="AH136" s="214">
        <f t="shared" si="333"/>
        <v>0</v>
      </c>
      <c r="AI136" s="98"/>
      <c r="AJ136" s="98">
        <f t="shared" si="334"/>
        <v>0</v>
      </c>
      <c r="AK136" s="214">
        <f t="shared" si="335"/>
        <v>0</v>
      </c>
      <c r="AL136" s="98"/>
      <c r="AM136" s="98">
        <f t="shared" si="336"/>
        <v>0</v>
      </c>
      <c r="AN136" s="214">
        <f t="shared" si="337"/>
        <v>0</v>
      </c>
      <c r="AO136" s="98"/>
      <c r="AP136" s="98">
        <f t="shared" si="338"/>
        <v>0</v>
      </c>
      <c r="AQ136" s="214">
        <f t="shared" si="339"/>
        <v>0</v>
      </c>
      <c r="AR136" s="98"/>
      <c r="AS136" s="98">
        <f t="shared" si="340"/>
        <v>0</v>
      </c>
      <c r="AT136" s="214">
        <f t="shared" si="341"/>
        <v>0</v>
      </c>
      <c r="AU136" s="98"/>
      <c r="AV136" s="215">
        <f t="shared" si="342"/>
        <v>0</v>
      </c>
      <c r="AW136" s="214">
        <f t="shared" si="343"/>
        <v>0</v>
      </c>
      <c r="AX136" s="98">
        <f t="shared" si="344"/>
        <v>0</v>
      </c>
      <c r="AY136" s="204">
        <f t="shared" si="345"/>
        <v>0</v>
      </c>
      <c r="AZ136" s="214">
        <f t="shared" si="346"/>
        <v>100</v>
      </c>
      <c r="BA136" s="98">
        <f t="shared" si="347"/>
        <v>2</v>
      </c>
      <c r="BB136" s="204">
        <f t="shared" si="348"/>
        <v>594.72</v>
      </c>
    </row>
    <row r="137" spans="1:54" s="3" customFormat="1" ht="42.75" x14ac:dyDescent="0.2">
      <c r="A137" s="39" t="s">
        <v>457</v>
      </c>
      <c r="B137" s="242" t="s">
        <v>104</v>
      </c>
      <c r="C137" s="242" t="s">
        <v>104</v>
      </c>
      <c r="D137" s="92" t="s">
        <v>458</v>
      </c>
      <c r="E137" s="28" t="s">
        <v>110</v>
      </c>
      <c r="F137" s="341">
        <f>197*1.25</f>
        <v>246.25</v>
      </c>
      <c r="G137" s="44">
        <v>18</v>
      </c>
      <c r="H137" s="259">
        <f t="shared" si="314"/>
        <v>18</v>
      </c>
      <c r="I137" s="37">
        <f t="shared" si="315"/>
        <v>0</v>
      </c>
      <c r="J137" s="37">
        <f t="shared" si="316"/>
        <v>309.81</v>
      </c>
      <c r="K137" s="288">
        <f t="shared" si="317"/>
        <v>5576.58</v>
      </c>
      <c r="L137" s="38">
        <f t="shared" si="318"/>
        <v>0</v>
      </c>
      <c r="M137" s="213">
        <f t="shared" si="319"/>
        <v>0</v>
      </c>
      <c r="N137" s="98"/>
      <c r="O137" s="98">
        <f t="shared" si="320"/>
        <v>0</v>
      </c>
      <c r="P137" s="214">
        <f t="shared" si="321"/>
        <v>0</v>
      </c>
      <c r="Q137" s="98"/>
      <c r="R137" s="98">
        <f t="shared" si="322"/>
        <v>0</v>
      </c>
      <c r="S137" s="214">
        <f t="shared" si="323"/>
        <v>0</v>
      </c>
      <c r="T137" s="98"/>
      <c r="U137" s="98">
        <f t="shared" si="324"/>
        <v>0</v>
      </c>
      <c r="V137" s="214">
        <f t="shared" si="325"/>
        <v>0</v>
      </c>
      <c r="W137" s="98"/>
      <c r="X137" s="98">
        <f t="shared" si="326"/>
        <v>0</v>
      </c>
      <c r="Y137" s="214">
        <f t="shared" si="327"/>
        <v>0</v>
      </c>
      <c r="Z137" s="98"/>
      <c r="AA137" s="98">
        <f t="shared" si="328"/>
        <v>0</v>
      </c>
      <c r="AB137" s="214">
        <f t="shared" si="329"/>
        <v>0</v>
      </c>
      <c r="AC137" s="98"/>
      <c r="AD137" s="98">
        <f t="shared" si="330"/>
        <v>0</v>
      </c>
      <c r="AE137" s="214">
        <f t="shared" si="331"/>
        <v>0</v>
      </c>
      <c r="AF137" s="98"/>
      <c r="AG137" s="98">
        <f t="shared" si="332"/>
        <v>0</v>
      </c>
      <c r="AH137" s="214">
        <f t="shared" si="333"/>
        <v>0</v>
      </c>
      <c r="AI137" s="98"/>
      <c r="AJ137" s="98">
        <f t="shared" si="334"/>
        <v>0</v>
      </c>
      <c r="AK137" s="214">
        <f t="shared" si="335"/>
        <v>0</v>
      </c>
      <c r="AL137" s="98"/>
      <c r="AM137" s="98">
        <f t="shared" si="336"/>
        <v>0</v>
      </c>
      <c r="AN137" s="214">
        <f t="shared" si="337"/>
        <v>0</v>
      </c>
      <c r="AO137" s="98"/>
      <c r="AP137" s="98">
        <f t="shared" si="338"/>
        <v>0</v>
      </c>
      <c r="AQ137" s="214">
        <f t="shared" si="339"/>
        <v>0</v>
      </c>
      <c r="AR137" s="98"/>
      <c r="AS137" s="98">
        <f t="shared" si="340"/>
        <v>0</v>
      </c>
      <c r="AT137" s="214">
        <f t="shared" si="341"/>
        <v>0</v>
      </c>
      <c r="AU137" s="98"/>
      <c r="AV137" s="215">
        <f t="shared" si="342"/>
        <v>0</v>
      </c>
      <c r="AW137" s="214">
        <f t="shared" si="343"/>
        <v>0</v>
      </c>
      <c r="AX137" s="98">
        <f t="shared" si="344"/>
        <v>0</v>
      </c>
      <c r="AY137" s="204">
        <f t="shared" si="345"/>
        <v>0</v>
      </c>
      <c r="AZ137" s="214">
        <f t="shared" si="346"/>
        <v>100</v>
      </c>
      <c r="BA137" s="98">
        <f t="shared" si="347"/>
        <v>18</v>
      </c>
      <c r="BB137" s="204">
        <f t="shared" si="348"/>
        <v>5576.58</v>
      </c>
    </row>
    <row r="138" spans="1:54" s="3" customFormat="1" ht="28.5" x14ac:dyDescent="0.2">
      <c r="A138" s="39" t="s">
        <v>459</v>
      </c>
      <c r="B138" s="338" t="s">
        <v>460</v>
      </c>
      <c r="C138" s="28" t="s">
        <v>461</v>
      </c>
      <c r="D138" s="50" t="s">
        <v>462</v>
      </c>
      <c r="E138" s="28" t="s">
        <v>275</v>
      </c>
      <c r="F138" s="339">
        <v>35.07</v>
      </c>
      <c r="G138" s="44">
        <f>89.7+11.32+29.52+49+37+68+30</f>
        <v>314.54000000000002</v>
      </c>
      <c r="H138" s="259">
        <f t="shared" si="314"/>
        <v>314.54000000000002</v>
      </c>
      <c r="I138" s="37">
        <f t="shared" si="315"/>
        <v>0</v>
      </c>
      <c r="J138" s="37">
        <f t="shared" si="316"/>
        <v>44.12</v>
      </c>
      <c r="K138" s="288">
        <f t="shared" si="317"/>
        <v>13877.5</v>
      </c>
      <c r="L138" s="38">
        <f t="shared" si="318"/>
        <v>0</v>
      </c>
      <c r="M138" s="213">
        <f t="shared" si="319"/>
        <v>0</v>
      </c>
      <c r="N138" s="98"/>
      <c r="O138" s="98">
        <f t="shared" si="320"/>
        <v>0</v>
      </c>
      <c r="P138" s="214">
        <f t="shared" si="321"/>
        <v>0</v>
      </c>
      <c r="Q138" s="98"/>
      <c r="R138" s="98">
        <f t="shared" si="322"/>
        <v>0</v>
      </c>
      <c r="S138" s="214">
        <f t="shared" si="323"/>
        <v>0</v>
      </c>
      <c r="T138" s="98"/>
      <c r="U138" s="98">
        <f t="shared" si="324"/>
        <v>0</v>
      </c>
      <c r="V138" s="214">
        <f t="shared" si="325"/>
        <v>0</v>
      </c>
      <c r="W138" s="98"/>
      <c r="X138" s="98">
        <f t="shared" si="326"/>
        <v>0</v>
      </c>
      <c r="Y138" s="214">
        <f t="shared" si="327"/>
        <v>0</v>
      </c>
      <c r="Z138" s="98"/>
      <c r="AA138" s="98">
        <f t="shared" si="328"/>
        <v>0</v>
      </c>
      <c r="AB138" s="214">
        <f t="shared" si="329"/>
        <v>0</v>
      </c>
      <c r="AC138" s="98"/>
      <c r="AD138" s="98">
        <f t="shared" si="330"/>
        <v>0</v>
      </c>
      <c r="AE138" s="214">
        <f t="shared" si="331"/>
        <v>0</v>
      </c>
      <c r="AF138" s="98"/>
      <c r="AG138" s="98">
        <f t="shared" si="332"/>
        <v>0</v>
      </c>
      <c r="AH138" s="214">
        <f t="shared" si="333"/>
        <v>0</v>
      </c>
      <c r="AI138" s="98"/>
      <c r="AJ138" s="98">
        <f t="shared" si="334"/>
        <v>0</v>
      </c>
      <c r="AK138" s="214">
        <f t="shared" si="335"/>
        <v>0</v>
      </c>
      <c r="AL138" s="98"/>
      <c r="AM138" s="98">
        <f t="shared" si="336"/>
        <v>0</v>
      </c>
      <c r="AN138" s="214">
        <f t="shared" si="337"/>
        <v>0</v>
      </c>
      <c r="AO138" s="98"/>
      <c r="AP138" s="98">
        <f t="shared" si="338"/>
        <v>0</v>
      </c>
      <c r="AQ138" s="214">
        <f t="shared" si="339"/>
        <v>0</v>
      </c>
      <c r="AR138" s="98"/>
      <c r="AS138" s="98">
        <f t="shared" si="340"/>
        <v>0</v>
      </c>
      <c r="AT138" s="214">
        <f t="shared" si="341"/>
        <v>0</v>
      </c>
      <c r="AU138" s="98"/>
      <c r="AV138" s="215">
        <f t="shared" si="342"/>
        <v>0</v>
      </c>
      <c r="AW138" s="214">
        <f t="shared" si="343"/>
        <v>0</v>
      </c>
      <c r="AX138" s="98">
        <f t="shared" si="344"/>
        <v>0</v>
      </c>
      <c r="AY138" s="204">
        <f t="shared" si="345"/>
        <v>0</v>
      </c>
      <c r="AZ138" s="214">
        <f t="shared" si="346"/>
        <v>100</v>
      </c>
      <c r="BA138" s="98">
        <f t="shared" si="347"/>
        <v>314.54000000000002</v>
      </c>
      <c r="BB138" s="204">
        <f t="shared" si="348"/>
        <v>13877.5</v>
      </c>
    </row>
    <row r="139" spans="1:54" s="3" customFormat="1" ht="15" customHeight="1" x14ac:dyDescent="0.2">
      <c r="A139" s="39"/>
      <c r="B139" s="47"/>
      <c r="C139" s="47"/>
      <c r="D139" s="40"/>
      <c r="E139" s="32"/>
      <c r="F139" s="44"/>
      <c r="G139" s="44"/>
      <c r="H139" s="652" t="s">
        <v>125</v>
      </c>
      <c r="I139" s="652"/>
      <c r="J139" s="652"/>
      <c r="K139" s="293">
        <f>SUM(K130:K138)</f>
        <v>51454.59</v>
      </c>
      <c r="L139" s="53">
        <f>SUM(L130:L138)</f>
        <v>0</v>
      </c>
      <c r="M139" s="648" t="s">
        <v>125</v>
      </c>
      <c r="N139" s="642"/>
      <c r="O139" s="172">
        <f>SUM(O130:O138)</f>
        <v>0</v>
      </c>
      <c r="P139" s="641" t="s">
        <v>125</v>
      </c>
      <c r="Q139" s="642"/>
      <c r="R139" s="172">
        <f>SUM(R130:R138)</f>
        <v>0</v>
      </c>
      <c r="S139" s="641" t="s">
        <v>125</v>
      </c>
      <c r="T139" s="642"/>
      <c r="U139" s="172">
        <f>SUM(U130:U138)</f>
        <v>0</v>
      </c>
      <c r="V139" s="641" t="s">
        <v>125</v>
      </c>
      <c r="W139" s="642"/>
      <c r="X139" s="172">
        <f>SUM(X130:X138)</f>
        <v>0</v>
      </c>
      <c r="Y139" s="641" t="s">
        <v>125</v>
      </c>
      <c r="Z139" s="642"/>
      <c r="AA139" s="172">
        <f>SUM(AA130:AA138)</f>
        <v>0</v>
      </c>
      <c r="AB139" s="641" t="s">
        <v>125</v>
      </c>
      <c r="AC139" s="642"/>
      <c r="AD139" s="172">
        <f>SUM(AD130:AD138)</f>
        <v>0</v>
      </c>
      <c r="AE139" s="641" t="s">
        <v>125</v>
      </c>
      <c r="AF139" s="642"/>
      <c r="AG139" s="172">
        <f>SUM(AG130:AG138)</f>
        <v>0</v>
      </c>
      <c r="AH139" s="641" t="s">
        <v>125</v>
      </c>
      <c r="AI139" s="642"/>
      <c r="AJ139" s="172">
        <f>SUM(AJ130:AJ138)</f>
        <v>0</v>
      </c>
      <c r="AK139" s="641" t="s">
        <v>125</v>
      </c>
      <c r="AL139" s="642"/>
      <c r="AM139" s="172">
        <f>SUM(AM130:AM138)</f>
        <v>0</v>
      </c>
      <c r="AN139" s="641" t="s">
        <v>125</v>
      </c>
      <c r="AO139" s="642"/>
      <c r="AP139" s="172">
        <f>SUM(AP130:AP138)</f>
        <v>0</v>
      </c>
      <c r="AQ139" s="641" t="s">
        <v>125</v>
      </c>
      <c r="AR139" s="642"/>
      <c r="AS139" s="172">
        <f>SUM(AS130:AS138)</f>
        <v>0</v>
      </c>
      <c r="AT139" s="641" t="s">
        <v>125</v>
      </c>
      <c r="AU139" s="642"/>
      <c r="AV139" s="173">
        <f>SUM(AV130:AV138)</f>
        <v>0</v>
      </c>
      <c r="AW139" s="641" t="s">
        <v>125</v>
      </c>
      <c r="AX139" s="642"/>
      <c r="AY139" s="43">
        <f>SUM(AY130:AY138)</f>
        <v>0</v>
      </c>
      <c r="AZ139" s="641" t="s">
        <v>125</v>
      </c>
      <c r="BA139" s="642"/>
      <c r="BB139" s="43">
        <f>SUM(BB129:BB138)</f>
        <v>51454.59</v>
      </c>
    </row>
    <row r="140" spans="1:54" s="3" customFormat="1" ht="15" x14ac:dyDescent="0.2">
      <c r="A140" s="34" t="s">
        <v>463</v>
      </c>
      <c r="B140" s="47"/>
      <c r="C140" s="47"/>
      <c r="D140" s="52" t="s">
        <v>464</v>
      </c>
      <c r="E140" s="45"/>
      <c r="F140" s="37"/>
      <c r="G140" s="99"/>
      <c r="H140" s="259"/>
      <c r="I140" s="29"/>
      <c r="J140" s="30"/>
      <c r="K140" s="30"/>
      <c r="L140" s="38"/>
      <c r="M140" s="213"/>
      <c r="N140" s="98"/>
      <c r="O140" s="98"/>
      <c r="P140" s="214"/>
      <c r="Q140" s="98"/>
      <c r="R140" s="98"/>
      <c r="S140" s="214"/>
      <c r="T140" s="98"/>
      <c r="U140" s="98"/>
      <c r="V140" s="214"/>
      <c r="W140" s="98"/>
      <c r="X140" s="98"/>
      <c r="Y140" s="214"/>
      <c r="Z140" s="98"/>
      <c r="AA140" s="98"/>
      <c r="AB140" s="214"/>
      <c r="AC140" s="98"/>
      <c r="AD140" s="98"/>
      <c r="AE140" s="214"/>
      <c r="AF140" s="98"/>
      <c r="AG140" s="98"/>
      <c r="AH140" s="214"/>
      <c r="AI140" s="98"/>
      <c r="AJ140" s="98"/>
      <c r="AK140" s="214"/>
      <c r="AL140" s="98"/>
      <c r="AM140" s="98"/>
      <c r="AN140" s="214"/>
      <c r="AO140" s="98"/>
      <c r="AP140" s="98"/>
      <c r="AQ140" s="214"/>
      <c r="AR140" s="98"/>
      <c r="AS140" s="98"/>
      <c r="AT140" s="214"/>
      <c r="AU140" s="98"/>
      <c r="AV140" s="215"/>
      <c r="AW140" s="214"/>
      <c r="AX140" s="98"/>
      <c r="AY140" s="204"/>
      <c r="AZ140" s="214"/>
      <c r="BA140" s="98"/>
      <c r="BB140" s="204"/>
    </row>
    <row r="141" spans="1:54" s="3" customFormat="1" ht="15" x14ac:dyDescent="0.2">
      <c r="A141" s="39" t="s">
        <v>465</v>
      </c>
      <c r="B141" s="338" t="s">
        <v>466</v>
      </c>
      <c r="C141" s="28" t="s">
        <v>467</v>
      </c>
      <c r="D141" s="58" t="s">
        <v>468</v>
      </c>
      <c r="E141" s="28" t="s">
        <v>110</v>
      </c>
      <c r="F141" s="329">
        <v>173.51</v>
      </c>
      <c r="G141" s="100">
        <f>'Quat Const.'!F131</f>
        <v>2</v>
      </c>
      <c r="H141" s="260">
        <f>G141</f>
        <v>2</v>
      </c>
      <c r="I141" s="37">
        <f>H141-G141</f>
        <v>0</v>
      </c>
      <c r="J141" s="37">
        <f>ROUND((F141*(1+$K$8))*(1+$G$8),2)</f>
        <v>218.29</v>
      </c>
      <c r="K141" s="288">
        <f>TRUNC(J141*G141,2)</f>
        <v>436.58</v>
      </c>
      <c r="L141" s="38">
        <f>TRUNC(J141*I141,2)</f>
        <v>0</v>
      </c>
      <c r="M141" s="213">
        <f>N141/$H141*100</f>
        <v>0</v>
      </c>
      <c r="N141" s="98"/>
      <c r="O141" s="98">
        <f>TRUNC(N141*$J141,2)</f>
        <v>0</v>
      </c>
      <c r="P141" s="214">
        <f>Q141/$H141*100</f>
        <v>0</v>
      </c>
      <c r="Q141" s="98"/>
      <c r="R141" s="98">
        <f>TRUNC(Q141*$J141,2)</f>
        <v>0</v>
      </c>
      <c r="S141" s="214">
        <f>T141/$H141*100</f>
        <v>0</v>
      </c>
      <c r="T141" s="98"/>
      <c r="U141" s="98">
        <f>TRUNC(T141*$J141,2)</f>
        <v>0</v>
      </c>
      <c r="V141" s="214">
        <f>W141/$H141*100</f>
        <v>0</v>
      </c>
      <c r="W141" s="98"/>
      <c r="X141" s="98">
        <f>TRUNC(W141*$J141,2)</f>
        <v>0</v>
      </c>
      <c r="Y141" s="214">
        <f>Z141/$H141*100</f>
        <v>0</v>
      </c>
      <c r="Z141" s="98"/>
      <c r="AA141" s="98">
        <f>TRUNC(Z141*$J141,2)</f>
        <v>0</v>
      </c>
      <c r="AB141" s="214">
        <f>AC141/$H141*100</f>
        <v>0</v>
      </c>
      <c r="AC141" s="98"/>
      <c r="AD141" s="98">
        <f>TRUNC(AC141*$J141,2)</f>
        <v>0</v>
      </c>
      <c r="AE141" s="214">
        <f>AF141/$H141*100</f>
        <v>0</v>
      </c>
      <c r="AF141" s="98"/>
      <c r="AG141" s="98">
        <f>TRUNC(AF141*$J141,2)</f>
        <v>0</v>
      </c>
      <c r="AH141" s="214">
        <f>AI141/$H141*100</f>
        <v>0</v>
      </c>
      <c r="AI141" s="98"/>
      <c r="AJ141" s="98">
        <f>TRUNC(AI141*$J141,2)</f>
        <v>0</v>
      </c>
      <c r="AK141" s="214">
        <f>AL141/$H141*100</f>
        <v>0</v>
      </c>
      <c r="AL141" s="98"/>
      <c r="AM141" s="98">
        <f>TRUNC(AL141*$J141,2)</f>
        <v>0</v>
      </c>
      <c r="AN141" s="214">
        <f>AO141/$H141*100</f>
        <v>0</v>
      </c>
      <c r="AO141" s="98"/>
      <c r="AP141" s="98">
        <f>TRUNC(AO141*$J141,2)</f>
        <v>0</v>
      </c>
      <c r="AQ141" s="214">
        <f>AR141/$H141*100</f>
        <v>0</v>
      </c>
      <c r="AR141" s="98"/>
      <c r="AS141" s="98">
        <f>TRUNC(AR141*$J141,2)</f>
        <v>0</v>
      </c>
      <c r="AT141" s="214">
        <f>AU141/$H141*100</f>
        <v>0</v>
      </c>
      <c r="AU141" s="98"/>
      <c r="AV141" s="215">
        <f>TRUNC(AU141*$J141,2)</f>
        <v>0</v>
      </c>
      <c r="AW141" s="214">
        <f>AX141/$H141*100</f>
        <v>0</v>
      </c>
      <c r="AX141" s="98">
        <f>Q141+N141+T141+W141+Z141+AC141+AF141+AI141+AL141+AO141+AR141+AU141</f>
        <v>0</v>
      </c>
      <c r="AY141" s="204">
        <f>TRUNC(AX141*$J141,2)</f>
        <v>0</v>
      </c>
      <c r="AZ141" s="214">
        <f>BA141/$H141*100</f>
        <v>100</v>
      </c>
      <c r="BA141" s="98">
        <f>H141-AX141</f>
        <v>2</v>
      </c>
      <c r="BB141" s="204">
        <f>TRUNC(BA141*$J141,2)</f>
        <v>436.58</v>
      </c>
    </row>
    <row r="142" spans="1:54" s="3" customFormat="1" ht="15" x14ac:dyDescent="0.2">
      <c r="A142" s="39" t="s">
        <v>469</v>
      </c>
      <c r="B142" s="338" t="s">
        <v>470</v>
      </c>
      <c r="C142" s="28" t="s">
        <v>471</v>
      </c>
      <c r="D142" s="58" t="s">
        <v>472</v>
      </c>
      <c r="E142" s="28" t="s">
        <v>110</v>
      </c>
      <c r="F142" s="329">
        <v>75.75</v>
      </c>
      <c r="G142" s="100">
        <f>'Quat Const.'!F132</f>
        <v>4</v>
      </c>
      <c r="H142" s="260">
        <f>G142</f>
        <v>4</v>
      </c>
      <c r="I142" s="37">
        <f>H142-G142</f>
        <v>0</v>
      </c>
      <c r="J142" s="37">
        <f>ROUND((F142*(1+$K$8))*(1+$G$8),2)</f>
        <v>95.3</v>
      </c>
      <c r="K142" s="288">
        <f>TRUNC(J142*G142,2)</f>
        <v>381.2</v>
      </c>
      <c r="L142" s="38">
        <f>TRUNC(J142*I142,2)</f>
        <v>0</v>
      </c>
      <c r="M142" s="213">
        <f>N142/$H142*100</f>
        <v>0</v>
      </c>
      <c r="N142" s="98"/>
      <c r="O142" s="98">
        <f>TRUNC(N142*$J142,2)</f>
        <v>0</v>
      </c>
      <c r="P142" s="214">
        <f>Q142/$H142*100</f>
        <v>0</v>
      </c>
      <c r="Q142" s="98"/>
      <c r="R142" s="98">
        <f>TRUNC(Q142*$J142,2)</f>
        <v>0</v>
      </c>
      <c r="S142" s="214">
        <f>T142/$H142*100</f>
        <v>0</v>
      </c>
      <c r="T142" s="98"/>
      <c r="U142" s="98">
        <f>TRUNC(T142*$J142,2)</f>
        <v>0</v>
      </c>
      <c r="V142" s="214">
        <f>W142/$H142*100</f>
        <v>0</v>
      </c>
      <c r="W142" s="98"/>
      <c r="X142" s="98">
        <f>TRUNC(W142*$J142,2)</f>
        <v>0</v>
      </c>
      <c r="Y142" s="214">
        <f>Z142/$H142*100</f>
        <v>0</v>
      </c>
      <c r="Z142" s="98"/>
      <c r="AA142" s="98">
        <f>TRUNC(Z142*$J142,2)</f>
        <v>0</v>
      </c>
      <c r="AB142" s="214">
        <f>AC142/$H142*100</f>
        <v>0</v>
      </c>
      <c r="AC142" s="98"/>
      <c r="AD142" s="98">
        <f>TRUNC(AC142*$J142,2)</f>
        <v>0</v>
      </c>
      <c r="AE142" s="214">
        <f>AF142/$H142*100</f>
        <v>0</v>
      </c>
      <c r="AF142" s="98"/>
      <c r="AG142" s="98">
        <f>TRUNC(AF142*$J142,2)</f>
        <v>0</v>
      </c>
      <c r="AH142" s="214">
        <f>AI142/$H142*100</f>
        <v>0</v>
      </c>
      <c r="AI142" s="98"/>
      <c r="AJ142" s="98">
        <f>TRUNC(AI142*$J142,2)</f>
        <v>0</v>
      </c>
      <c r="AK142" s="214">
        <f>AL142/$H142*100</f>
        <v>0</v>
      </c>
      <c r="AL142" s="98"/>
      <c r="AM142" s="98">
        <f>TRUNC(AL142*$J142,2)</f>
        <v>0</v>
      </c>
      <c r="AN142" s="214">
        <f>AO142/$H142*100</f>
        <v>0</v>
      </c>
      <c r="AO142" s="98"/>
      <c r="AP142" s="98">
        <f>TRUNC(AO142*$J142,2)</f>
        <v>0</v>
      </c>
      <c r="AQ142" s="214">
        <f>AR142/$H142*100</f>
        <v>0</v>
      </c>
      <c r="AR142" s="98"/>
      <c r="AS142" s="98">
        <f>TRUNC(AR142*$J142,2)</f>
        <v>0</v>
      </c>
      <c r="AT142" s="214">
        <f>AU142/$H142*100</f>
        <v>0</v>
      </c>
      <c r="AU142" s="98"/>
      <c r="AV142" s="215">
        <f>TRUNC(AU142*$J142,2)</f>
        <v>0</v>
      </c>
      <c r="AW142" s="214">
        <f>AX142/$H142*100</f>
        <v>0</v>
      </c>
      <c r="AX142" s="98">
        <f>Q142+N142+T142+W142+Z142+AC142+AF142+AI142+AL142+AO142+AR142+AU142</f>
        <v>0</v>
      </c>
      <c r="AY142" s="204">
        <f>TRUNC(AX142*$J142,2)</f>
        <v>0</v>
      </c>
      <c r="AZ142" s="214">
        <f>BA142/$H142*100</f>
        <v>100</v>
      </c>
      <c r="BA142" s="98">
        <f>H142-AX142</f>
        <v>4</v>
      </c>
      <c r="BB142" s="204">
        <f>TRUNC(BA142*$J142,2)</f>
        <v>381.2</v>
      </c>
    </row>
    <row r="143" spans="1:54" s="3" customFormat="1" ht="15" customHeight="1" x14ac:dyDescent="0.2">
      <c r="A143" s="39"/>
      <c r="B143" s="47"/>
      <c r="C143" s="47"/>
      <c r="D143" s="40"/>
      <c r="E143" s="32"/>
      <c r="F143" s="44"/>
      <c r="G143" s="44"/>
      <c r="H143" s="652" t="s">
        <v>125</v>
      </c>
      <c r="I143" s="652"/>
      <c r="J143" s="652"/>
      <c r="K143" s="293">
        <f>SUM(K141:K142)</f>
        <v>817.78</v>
      </c>
      <c r="L143" s="53">
        <f>SUM(L141:L142)</f>
        <v>0</v>
      </c>
      <c r="M143" s="648" t="s">
        <v>125</v>
      </c>
      <c r="N143" s="642"/>
      <c r="O143" s="172">
        <f>SUM(O141:O142)</f>
        <v>0</v>
      </c>
      <c r="P143" s="641" t="s">
        <v>125</v>
      </c>
      <c r="Q143" s="642"/>
      <c r="R143" s="172">
        <f>SUM(R141:R142)</f>
        <v>0</v>
      </c>
      <c r="S143" s="641" t="s">
        <v>125</v>
      </c>
      <c r="T143" s="642"/>
      <c r="U143" s="172">
        <f>SUM(U141:U142)</f>
        <v>0</v>
      </c>
      <c r="V143" s="641" t="s">
        <v>125</v>
      </c>
      <c r="W143" s="642"/>
      <c r="X143" s="172">
        <f>SUM(X141:X142)</f>
        <v>0</v>
      </c>
      <c r="Y143" s="641" t="s">
        <v>125</v>
      </c>
      <c r="Z143" s="642"/>
      <c r="AA143" s="172">
        <f>SUM(AA141:AA142)</f>
        <v>0</v>
      </c>
      <c r="AB143" s="641" t="s">
        <v>125</v>
      </c>
      <c r="AC143" s="642"/>
      <c r="AD143" s="172">
        <f>SUM(AD141:AD142)</f>
        <v>0</v>
      </c>
      <c r="AE143" s="641" t="s">
        <v>125</v>
      </c>
      <c r="AF143" s="642"/>
      <c r="AG143" s="172">
        <f>SUM(AG141:AG142)</f>
        <v>0</v>
      </c>
      <c r="AH143" s="641" t="s">
        <v>125</v>
      </c>
      <c r="AI143" s="642"/>
      <c r="AJ143" s="172">
        <f>SUM(AJ141:AJ142)</f>
        <v>0</v>
      </c>
      <c r="AK143" s="641" t="s">
        <v>125</v>
      </c>
      <c r="AL143" s="642"/>
      <c r="AM143" s="172">
        <f>SUM(AM141:AM142)</f>
        <v>0</v>
      </c>
      <c r="AN143" s="641" t="s">
        <v>125</v>
      </c>
      <c r="AO143" s="642"/>
      <c r="AP143" s="172">
        <f>SUM(AP141:AP142)</f>
        <v>0</v>
      </c>
      <c r="AQ143" s="641" t="s">
        <v>125</v>
      </c>
      <c r="AR143" s="642"/>
      <c r="AS143" s="172">
        <f>SUM(AS141:AS142)</f>
        <v>0</v>
      </c>
      <c r="AT143" s="641" t="s">
        <v>125</v>
      </c>
      <c r="AU143" s="642"/>
      <c r="AV143" s="173">
        <f>SUM(AV141:AV142)</f>
        <v>0</v>
      </c>
      <c r="AW143" s="641" t="s">
        <v>125</v>
      </c>
      <c r="AX143" s="642"/>
      <c r="AY143" s="43">
        <f>SUM(AY141:AY142)</f>
        <v>0</v>
      </c>
      <c r="AZ143" s="641" t="s">
        <v>125</v>
      </c>
      <c r="BA143" s="642"/>
      <c r="BB143" s="43">
        <f>SUM(BB140:BB142)</f>
        <v>817.78</v>
      </c>
    </row>
    <row r="144" spans="1:54" s="3" customFormat="1" ht="15" x14ac:dyDescent="0.2">
      <c r="A144" s="34" t="s">
        <v>473</v>
      </c>
      <c r="B144" s="47"/>
      <c r="C144" s="47"/>
      <c r="D144" s="54" t="s">
        <v>474</v>
      </c>
      <c r="E144" s="32"/>
      <c r="F144" s="44"/>
      <c r="G144" s="385"/>
      <c r="H144" s="255"/>
      <c r="I144" s="391"/>
      <c r="J144" s="391"/>
      <c r="K144" s="293"/>
      <c r="L144" s="38"/>
      <c r="M144" s="213"/>
      <c r="N144" s="98"/>
      <c r="O144" s="98"/>
      <c r="P144" s="214"/>
      <c r="Q144" s="98"/>
      <c r="R144" s="98"/>
      <c r="S144" s="214"/>
      <c r="T144" s="98"/>
      <c r="U144" s="98"/>
      <c r="V144" s="214"/>
      <c r="W144" s="98"/>
      <c r="X144" s="98"/>
      <c r="Y144" s="214"/>
      <c r="Z144" s="98"/>
      <c r="AA144" s="98"/>
      <c r="AB144" s="214"/>
      <c r="AC144" s="98"/>
      <c r="AD144" s="98"/>
      <c r="AE144" s="214"/>
      <c r="AF144" s="98"/>
      <c r="AG144" s="98"/>
      <c r="AH144" s="214"/>
      <c r="AI144" s="98"/>
      <c r="AJ144" s="98"/>
      <c r="AK144" s="214"/>
      <c r="AL144" s="98"/>
      <c r="AM144" s="98"/>
      <c r="AN144" s="214"/>
      <c r="AO144" s="98"/>
      <c r="AP144" s="98"/>
      <c r="AQ144" s="214"/>
      <c r="AR144" s="98"/>
      <c r="AS144" s="98"/>
      <c r="AT144" s="214"/>
      <c r="AU144" s="98"/>
      <c r="AV144" s="215"/>
      <c r="AW144" s="214"/>
      <c r="AX144" s="98"/>
      <c r="AY144" s="204"/>
      <c r="AZ144" s="214"/>
      <c r="BA144" s="98"/>
      <c r="BB144" s="204"/>
    </row>
    <row r="145" spans="1:54" s="3" customFormat="1" ht="15" x14ac:dyDescent="0.2">
      <c r="A145" s="39" t="s">
        <v>475</v>
      </c>
      <c r="B145" s="338" t="s">
        <v>476</v>
      </c>
      <c r="C145" s="28" t="s">
        <v>477</v>
      </c>
      <c r="D145" s="58" t="s">
        <v>478</v>
      </c>
      <c r="E145" s="28" t="s">
        <v>98</v>
      </c>
      <c r="F145" s="339">
        <v>3.59</v>
      </c>
      <c r="G145" s="99">
        <f>'Quat Const.'!F136</f>
        <v>1456.32</v>
      </c>
      <c r="H145" s="259">
        <f>G145</f>
        <v>1456.32</v>
      </c>
      <c r="I145" s="37">
        <f>H145-G145</f>
        <v>0</v>
      </c>
      <c r="J145" s="37">
        <f>ROUND((F145*(1+$K$8))*(1+$G$8),2)</f>
        <v>4.5199999999999996</v>
      </c>
      <c r="K145" s="288">
        <f>TRUNC(J145*G145,2)</f>
        <v>6582.56</v>
      </c>
      <c r="L145" s="38">
        <f>TRUNC(J145*I145,2)</f>
        <v>0</v>
      </c>
      <c r="M145" s="213">
        <f>N145/$H145*100</f>
        <v>0</v>
      </c>
      <c r="N145" s="98"/>
      <c r="O145" s="98">
        <f>TRUNC(N145*$J145,2)</f>
        <v>0</v>
      </c>
      <c r="P145" s="214">
        <f>Q145/$H145*100</f>
        <v>0</v>
      </c>
      <c r="Q145" s="98"/>
      <c r="R145" s="98">
        <f>TRUNC(Q145*$J145,2)</f>
        <v>0</v>
      </c>
      <c r="S145" s="214">
        <f>T145/$H145*100</f>
        <v>0</v>
      </c>
      <c r="T145" s="98"/>
      <c r="U145" s="98">
        <f>TRUNC(T145*$J145,2)</f>
        <v>0</v>
      </c>
      <c r="V145" s="214">
        <f>W145/$H145*100</f>
        <v>0</v>
      </c>
      <c r="W145" s="98"/>
      <c r="X145" s="98">
        <f>TRUNC(W145*$J145,2)</f>
        <v>0</v>
      </c>
      <c r="Y145" s="214">
        <f>Z145/$H145*100</f>
        <v>0</v>
      </c>
      <c r="Z145" s="98"/>
      <c r="AA145" s="98">
        <f>TRUNC(Z145*$J145,2)</f>
        <v>0</v>
      </c>
      <c r="AB145" s="214">
        <f>AC145/$H145*100</f>
        <v>0</v>
      </c>
      <c r="AC145" s="98"/>
      <c r="AD145" s="98">
        <f>TRUNC(AC145*$J145,2)</f>
        <v>0</v>
      </c>
      <c r="AE145" s="214">
        <f>AF145/$H145*100</f>
        <v>0</v>
      </c>
      <c r="AF145" s="98"/>
      <c r="AG145" s="98">
        <f>TRUNC(AF145*$J145,2)</f>
        <v>0</v>
      </c>
      <c r="AH145" s="214">
        <f>AI145/$H145*100</f>
        <v>0</v>
      </c>
      <c r="AI145" s="98"/>
      <c r="AJ145" s="98">
        <f>TRUNC(AI145*$J145,2)</f>
        <v>0</v>
      </c>
      <c r="AK145" s="214">
        <f>AL145/$H145*100</f>
        <v>0</v>
      </c>
      <c r="AL145" s="98"/>
      <c r="AM145" s="98">
        <f>TRUNC(AL145*$J145,2)</f>
        <v>0</v>
      </c>
      <c r="AN145" s="214">
        <f>AO145/$H145*100</f>
        <v>0</v>
      </c>
      <c r="AO145" s="98"/>
      <c r="AP145" s="98">
        <f>TRUNC(AO145*$J145,2)</f>
        <v>0</v>
      </c>
      <c r="AQ145" s="214">
        <f>AR145/$H145*100</f>
        <v>0</v>
      </c>
      <c r="AR145" s="98"/>
      <c r="AS145" s="98">
        <f>TRUNC(AR145*$J145,2)</f>
        <v>0</v>
      </c>
      <c r="AT145" s="214">
        <f>AU145/$H145*100</f>
        <v>0</v>
      </c>
      <c r="AU145" s="98"/>
      <c r="AV145" s="215">
        <f>TRUNC(AU145*$J145,2)</f>
        <v>0</v>
      </c>
      <c r="AW145" s="214">
        <f>AX145/$H145*100</f>
        <v>0</v>
      </c>
      <c r="AX145" s="98">
        <f>Q145+N145+T145+W145+Z145+AC145+AF145+AI145+AL145+AO145+AR145+AU145</f>
        <v>0</v>
      </c>
      <c r="AY145" s="204">
        <f>TRUNC(AX145*$J145,2)</f>
        <v>0</v>
      </c>
      <c r="AZ145" s="214">
        <f>BA145/$H145*100</f>
        <v>100</v>
      </c>
      <c r="BA145" s="98">
        <f>H145-AX145</f>
        <v>1456.32</v>
      </c>
      <c r="BB145" s="204">
        <f>TRUNC(BA145*$J145,2)</f>
        <v>6582.56</v>
      </c>
    </row>
    <row r="146" spans="1:54" s="3" customFormat="1" ht="15" customHeight="1" x14ac:dyDescent="0.2">
      <c r="A146" s="34"/>
      <c r="B146" s="37"/>
      <c r="C146" s="37"/>
      <c r="D146" s="49"/>
      <c r="E146" s="37"/>
      <c r="F146" s="37"/>
      <c r="G146" s="37"/>
      <c r="H146" s="642" t="s">
        <v>479</v>
      </c>
      <c r="I146" s="642"/>
      <c r="J146" s="642"/>
      <c r="K146" s="172">
        <f>SUM(K144:K145)</f>
        <v>6582.56</v>
      </c>
      <c r="L146" s="43">
        <f>SUM(L144:L145)</f>
        <v>0</v>
      </c>
      <c r="M146" s="648" t="s">
        <v>125</v>
      </c>
      <c r="N146" s="642"/>
      <c r="O146" s="172">
        <f>SUM(O144:O145)</f>
        <v>0</v>
      </c>
      <c r="P146" s="641" t="s">
        <v>125</v>
      </c>
      <c r="Q146" s="642"/>
      <c r="R146" s="172">
        <f>SUM(R144:R145)</f>
        <v>0</v>
      </c>
      <c r="S146" s="641" t="s">
        <v>125</v>
      </c>
      <c r="T146" s="642"/>
      <c r="U146" s="172">
        <f>SUM(U144:U145)</f>
        <v>0</v>
      </c>
      <c r="V146" s="641" t="s">
        <v>125</v>
      </c>
      <c r="W146" s="642"/>
      <c r="X146" s="172">
        <f>SUM(X144:X145)</f>
        <v>0</v>
      </c>
      <c r="Y146" s="641" t="s">
        <v>125</v>
      </c>
      <c r="Z146" s="642"/>
      <c r="AA146" s="172">
        <f>SUM(AA144:AA145)</f>
        <v>0</v>
      </c>
      <c r="AB146" s="641" t="s">
        <v>125</v>
      </c>
      <c r="AC146" s="642"/>
      <c r="AD146" s="172">
        <f>SUM(AD144:AD145)</f>
        <v>0</v>
      </c>
      <c r="AE146" s="641" t="s">
        <v>125</v>
      </c>
      <c r="AF146" s="642"/>
      <c r="AG146" s="172">
        <f>SUM(AG144:AG145)</f>
        <v>0</v>
      </c>
      <c r="AH146" s="641" t="s">
        <v>125</v>
      </c>
      <c r="AI146" s="642"/>
      <c r="AJ146" s="172">
        <f>SUM(AJ144:AJ145)</f>
        <v>0</v>
      </c>
      <c r="AK146" s="641" t="s">
        <v>125</v>
      </c>
      <c r="AL146" s="642"/>
      <c r="AM146" s="172">
        <f>SUM(AM144:AM145)</f>
        <v>0</v>
      </c>
      <c r="AN146" s="641" t="s">
        <v>125</v>
      </c>
      <c r="AO146" s="642"/>
      <c r="AP146" s="172">
        <f>SUM(AP144:AP145)</f>
        <v>0</v>
      </c>
      <c r="AQ146" s="641" t="s">
        <v>125</v>
      </c>
      <c r="AR146" s="642"/>
      <c r="AS146" s="172">
        <f>SUM(AS144:AS145)</f>
        <v>0</v>
      </c>
      <c r="AT146" s="641" t="s">
        <v>125</v>
      </c>
      <c r="AU146" s="642"/>
      <c r="AV146" s="173">
        <f>SUM(AV144:AV145)</f>
        <v>0</v>
      </c>
      <c r="AW146" s="641" t="s">
        <v>125</v>
      </c>
      <c r="AX146" s="642"/>
      <c r="AY146" s="43">
        <f>SUM(AY144:AY145)</f>
        <v>0</v>
      </c>
      <c r="AZ146" s="641" t="s">
        <v>125</v>
      </c>
      <c r="BA146" s="642"/>
      <c r="BB146" s="43">
        <f>SUM(BB144:BB145)</f>
        <v>6582.56</v>
      </c>
    </row>
    <row r="147" spans="1:54" s="3" customFormat="1" ht="15.75" customHeight="1" thickBot="1" x14ac:dyDescent="0.25">
      <c r="A147" s="55"/>
      <c r="B147" s="56"/>
      <c r="C147" s="56"/>
      <c r="D147" s="237" t="str">
        <f>RESUMO!A22</f>
        <v>CUIABÁ - MT, 04 DE NOVEMBRO DE 2022</v>
      </c>
      <c r="E147" s="56"/>
      <c r="F147" s="56"/>
      <c r="G147" s="56"/>
      <c r="H147" s="644" t="s">
        <v>480</v>
      </c>
      <c r="I147" s="644"/>
      <c r="J147" s="644"/>
      <c r="K147" s="239">
        <f>SUM(K12:K146)/2</f>
        <v>864949.41999999981</v>
      </c>
      <c r="L147" s="238">
        <f>SUM(L12:L146)/2</f>
        <v>0</v>
      </c>
      <c r="M147" s="653" t="s">
        <v>480</v>
      </c>
      <c r="N147" s="644"/>
      <c r="O147" s="239">
        <f>SUM(O13:O146)/2</f>
        <v>0</v>
      </c>
      <c r="P147" s="643" t="s">
        <v>480</v>
      </c>
      <c r="Q147" s="644"/>
      <c r="R147" s="239">
        <f>SUM(R13:R146)/2</f>
        <v>0</v>
      </c>
      <c r="S147" s="643" t="s">
        <v>480</v>
      </c>
      <c r="T147" s="644"/>
      <c r="U147" s="239">
        <f>SUM(U13:U146)/2</f>
        <v>0</v>
      </c>
      <c r="V147" s="643" t="s">
        <v>480</v>
      </c>
      <c r="W147" s="644"/>
      <c r="X147" s="239">
        <f>SUM(X13:X146)/2</f>
        <v>0</v>
      </c>
      <c r="Y147" s="643" t="s">
        <v>480</v>
      </c>
      <c r="Z147" s="644"/>
      <c r="AA147" s="239">
        <f>SUM(AA13:AA146)/2</f>
        <v>0</v>
      </c>
      <c r="AB147" s="643" t="s">
        <v>480</v>
      </c>
      <c r="AC147" s="644"/>
      <c r="AD147" s="239">
        <f>SUM(AD13:AD146)/2</f>
        <v>0</v>
      </c>
      <c r="AE147" s="643" t="s">
        <v>480</v>
      </c>
      <c r="AF147" s="644"/>
      <c r="AG147" s="239">
        <f>SUM(AG13:AG146)/2</f>
        <v>0</v>
      </c>
      <c r="AH147" s="643" t="s">
        <v>480</v>
      </c>
      <c r="AI147" s="644"/>
      <c r="AJ147" s="239">
        <f>SUM(AJ13:AJ146)/2</f>
        <v>0</v>
      </c>
      <c r="AK147" s="643" t="s">
        <v>480</v>
      </c>
      <c r="AL147" s="644"/>
      <c r="AM147" s="239">
        <f>SUM(AM13:AM146)/2</f>
        <v>0</v>
      </c>
      <c r="AN147" s="643" t="s">
        <v>480</v>
      </c>
      <c r="AO147" s="644"/>
      <c r="AP147" s="239">
        <f>SUM(AP13:AP146)/2</f>
        <v>0</v>
      </c>
      <c r="AQ147" s="643" t="s">
        <v>480</v>
      </c>
      <c r="AR147" s="644"/>
      <c r="AS147" s="239">
        <f>SUM(AS13:AS146)/2</f>
        <v>0</v>
      </c>
      <c r="AT147" s="643" t="s">
        <v>480</v>
      </c>
      <c r="AU147" s="644"/>
      <c r="AV147" s="240">
        <f>SUM(AV13:AV146)/2</f>
        <v>0</v>
      </c>
      <c r="AW147" s="643" t="s">
        <v>480</v>
      </c>
      <c r="AX147" s="644"/>
      <c r="AY147" s="238">
        <f>SUM(AY13:AY146)/2</f>
        <v>0</v>
      </c>
      <c r="AZ147" s="643" t="s">
        <v>480</v>
      </c>
      <c r="BA147" s="644"/>
      <c r="BB147" s="238">
        <f>SUM(BB13:BB146)/2</f>
        <v>864949.41999999981</v>
      </c>
    </row>
    <row r="148" spans="1:54" ht="14.25" customHeight="1" x14ac:dyDescent="0.2">
      <c r="A148" s="5"/>
      <c r="B148" s="6"/>
      <c r="C148" s="6"/>
      <c r="D148" s="6"/>
      <c r="E148" s="6"/>
      <c r="F148" s="6"/>
      <c r="G148" s="6"/>
      <c r="H148" s="246"/>
      <c r="I148" s="6"/>
      <c r="J148" s="6"/>
      <c r="K148" s="6"/>
      <c r="L148" s="6"/>
      <c r="N148" s="6"/>
      <c r="Q148" s="6"/>
      <c r="T148" s="6"/>
      <c r="W148" s="6"/>
      <c r="Z148" s="6"/>
      <c r="AC148" s="6"/>
      <c r="AF148" s="6"/>
      <c r="AI148" s="6"/>
      <c r="AL148" s="6"/>
      <c r="AO148" s="6"/>
      <c r="AR148" s="6"/>
      <c r="AU148" s="6"/>
    </row>
    <row r="149" spans="1:54" ht="14.25" customHeight="1" x14ac:dyDescent="0.2">
      <c r="A149" s="5"/>
      <c r="B149" s="5"/>
      <c r="C149" s="5"/>
      <c r="D149" s="6"/>
      <c r="E149" s="6"/>
      <c r="F149" s="6"/>
      <c r="G149" s="6"/>
      <c r="H149" s="246"/>
      <c r="I149" s="6"/>
      <c r="J149" s="6"/>
      <c r="K149" s="6"/>
      <c r="L149" s="403"/>
      <c r="N149" s="6"/>
      <c r="Q149" s="6"/>
      <c r="T149" s="6"/>
      <c r="W149" s="6"/>
      <c r="Z149" s="6"/>
      <c r="AC149" s="6"/>
      <c r="AF149" s="6"/>
      <c r="AI149" s="6"/>
      <c r="AL149" s="6"/>
      <c r="AO149" s="6"/>
      <c r="AR149" s="6"/>
      <c r="AU149" s="6"/>
    </row>
    <row r="150" spans="1:54" ht="14.25" customHeight="1" x14ac:dyDescent="0.2">
      <c r="A150" s="5"/>
      <c r="B150" s="5"/>
      <c r="C150" s="5"/>
      <c r="D150" s="6"/>
      <c r="E150" s="6"/>
      <c r="F150" s="6"/>
      <c r="G150" s="6"/>
      <c r="H150" s="246"/>
      <c r="I150" s="6"/>
      <c r="J150" s="6"/>
      <c r="K150" s="6"/>
      <c r="L150" s="6"/>
      <c r="N150" s="6"/>
      <c r="Q150" s="6"/>
      <c r="T150" s="6"/>
      <c r="W150" s="6"/>
      <c r="Z150" s="6"/>
      <c r="AC150" s="6"/>
      <c r="AF150" s="6"/>
      <c r="AI150" s="6"/>
      <c r="AL150" s="6"/>
      <c r="AO150" s="6"/>
      <c r="AR150" s="6"/>
      <c r="AU150" s="6"/>
    </row>
    <row r="151" spans="1:54" ht="14.25" customHeight="1" x14ac:dyDescent="0.2">
      <c r="A151" s="5"/>
      <c r="B151" s="5"/>
      <c r="C151" s="5"/>
      <c r="D151" s="6"/>
      <c r="E151" s="6"/>
      <c r="F151" s="6"/>
      <c r="G151" s="6"/>
      <c r="H151" s="246"/>
      <c r="I151" s="6"/>
      <c r="J151" s="6"/>
      <c r="K151" s="6"/>
      <c r="L151" s="6"/>
      <c r="N151" s="6"/>
      <c r="Q151" s="6"/>
      <c r="T151" s="6"/>
      <c r="W151" s="6"/>
      <c r="Z151" s="6"/>
      <c r="AC151" s="6"/>
      <c r="AF151" s="6"/>
      <c r="AI151" s="6"/>
      <c r="AL151" s="6"/>
      <c r="AO151" s="6"/>
      <c r="AR151" s="6"/>
      <c r="AU151" s="6"/>
      <c r="BB151" s="203"/>
    </row>
    <row r="152" spans="1:54" ht="14.25" customHeight="1" x14ac:dyDescent="0.2">
      <c r="A152" s="5"/>
      <c r="B152" s="5"/>
      <c r="C152" s="5"/>
      <c r="D152" s="6"/>
      <c r="E152" s="6"/>
      <c r="F152" s="6"/>
      <c r="G152" s="6"/>
      <c r="H152" s="246"/>
      <c r="I152" s="6"/>
      <c r="J152" s="6"/>
      <c r="K152" s="6"/>
      <c r="L152" s="6"/>
      <c r="N152" s="6"/>
      <c r="Q152" s="6"/>
      <c r="T152" s="6"/>
      <c r="W152" s="6"/>
      <c r="Z152" s="6"/>
      <c r="AC152" s="6"/>
      <c r="AF152" s="6"/>
      <c r="AI152" s="6"/>
      <c r="AL152" s="6"/>
      <c r="AO152" s="6"/>
      <c r="AR152" s="6"/>
      <c r="AU152" s="6"/>
    </row>
    <row r="153" spans="1:54" ht="14.25" customHeight="1" x14ac:dyDescent="0.2">
      <c r="A153" s="5"/>
      <c r="B153" s="407"/>
      <c r="C153" s="407"/>
      <c r="D153" s="6"/>
      <c r="E153" s="6"/>
      <c r="F153" s="6"/>
      <c r="G153" s="6"/>
      <c r="H153" s="246"/>
      <c r="I153" s="6"/>
      <c r="J153" s="6"/>
      <c r="K153" s="6"/>
      <c r="L153" s="6"/>
      <c r="N153" s="6"/>
      <c r="Q153" s="6"/>
      <c r="T153" s="6"/>
      <c r="W153" s="6"/>
      <c r="Z153" s="6"/>
      <c r="AC153" s="6"/>
      <c r="AF153" s="6"/>
      <c r="AI153" s="6"/>
      <c r="AL153" s="6"/>
      <c r="AO153" s="6"/>
      <c r="AR153" s="6"/>
      <c r="AU153" s="6"/>
    </row>
    <row r="154" spans="1:54" ht="14.25" customHeight="1" x14ac:dyDescent="0.2">
      <c r="A154" s="5"/>
      <c r="B154" s="5"/>
      <c r="C154" s="5"/>
      <c r="D154" s="6"/>
      <c r="E154" s="6"/>
      <c r="F154" s="6"/>
      <c r="G154" s="6"/>
      <c r="H154" s="246"/>
      <c r="I154" s="6"/>
      <c r="J154" s="6"/>
      <c r="K154" s="6"/>
      <c r="L154" s="6"/>
      <c r="N154" s="6"/>
      <c r="Q154" s="6"/>
      <c r="T154" s="6"/>
      <c r="W154" s="6"/>
      <c r="Z154" s="6"/>
      <c r="AC154" s="6"/>
      <c r="AF154" s="6"/>
      <c r="AI154" s="6"/>
      <c r="AL154" s="6"/>
      <c r="AO154" s="6"/>
      <c r="AR154" s="6"/>
      <c r="AU154" s="6"/>
    </row>
    <row r="155" spans="1:54" ht="14.25" customHeight="1" x14ac:dyDescent="0.2">
      <c r="A155" s="5"/>
      <c r="B155" s="5"/>
      <c r="C155" s="5"/>
      <c r="D155" s="6"/>
      <c r="E155" s="6"/>
      <c r="F155" s="6"/>
      <c r="G155" s="6"/>
      <c r="H155" s="246"/>
      <c r="I155" s="6"/>
      <c r="J155" s="6"/>
      <c r="K155" s="6"/>
      <c r="L155" s="6"/>
      <c r="N155" s="6"/>
      <c r="O155" s="203"/>
      <c r="Q155" s="6"/>
      <c r="T155" s="6"/>
      <c r="W155" s="6"/>
      <c r="Z155" s="6"/>
      <c r="AC155" s="6"/>
      <c r="AF155" s="6"/>
      <c r="AI155" s="6"/>
      <c r="AL155" s="6"/>
      <c r="AO155" s="6"/>
      <c r="AR155" s="6"/>
      <c r="AU155" s="6"/>
    </row>
    <row r="156" spans="1:54" ht="14.25" customHeight="1" x14ac:dyDescent="0.2">
      <c r="A156" s="5"/>
      <c r="B156" s="5"/>
      <c r="C156" s="5"/>
      <c r="D156" s="6"/>
      <c r="E156" s="6"/>
      <c r="F156" s="6"/>
      <c r="G156" s="6"/>
      <c r="H156" s="246"/>
      <c r="I156" s="6"/>
      <c r="J156" s="6"/>
      <c r="K156" s="6"/>
      <c r="L156" s="6"/>
      <c r="N156" s="6"/>
      <c r="Q156" s="6"/>
      <c r="T156" s="6"/>
      <c r="W156" s="6"/>
      <c r="Z156" s="6"/>
      <c r="AC156" s="6"/>
      <c r="AF156" s="6"/>
      <c r="AI156" s="6"/>
      <c r="AL156" s="6"/>
      <c r="AO156" s="6"/>
      <c r="AR156" s="6"/>
      <c r="AU156" s="6"/>
    </row>
    <row r="157" spans="1:54" ht="14.25" customHeight="1" x14ac:dyDescent="0.2">
      <c r="A157" s="5"/>
      <c r="B157" s="5"/>
      <c r="C157" s="5"/>
      <c r="D157" s="6"/>
      <c r="E157" s="6"/>
      <c r="F157" s="6"/>
      <c r="G157" s="6"/>
      <c r="H157" s="246"/>
      <c r="I157" s="6"/>
      <c r="J157" s="6"/>
      <c r="K157" s="6"/>
      <c r="L157" s="6"/>
      <c r="N157" s="6"/>
      <c r="Q157" s="6"/>
      <c r="T157" s="6"/>
      <c r="W157" s="6"/>
      <c r="Z157" s="6"/>
      <c r="AC157" s="6"/>
      <c r="AF157" s="6"/>
      <c r="AI157" s="6"/>
      <c r="AL157" s="6"/>
      <c r="AO157" s="6"/>
      <c r="AR157" s="6"/>
      <c r="AU157" s="6"/>
    </row>
    <row r="158" spans="1:54" ht="14.25" customHeight="1" x14ac:dyDescent="0.2">
      <c r="A158" s="5"/>
      <c r="B158" s="5"/>
      <c r="C158" s="5"/>
      <c r="D158" s="6"/>
      <c r="E158" s="6"/>
      <c r="F158" s="6"/>
      <c r="G158" s="6"/>
      <c r="H158" s="246"/>
      <c r="I158" s="6"/>
      <c r="J158" s="6"/>
      <c r="K158" s="6"/>
      <c r="L158" s="6"/>
      <c r="N158" s="6"/>
      <c r="Q158" s="6"/>
      <c r="T158" s="6"/>
      <c r="W158" s="6"/>
      <c r="Z158" s="6"/>
      <c r="AC158" s="6"/>
      <c r="AF158" s="6"/>
      <c r="AI158" s="6"/>
      <c r="AL158" s="6"/>
      <c r="AO158" s="6"/>
      <c r="AR158" s="6"/>
      <c r="AU158" s="6"/>
    </row>
    <row r="159" spans="1:54" ht="14.25" customHeight="1" x14ac:dyDescent="0.2">
      <c r="A159" s="5"/>
      <c r="B159" s="5"/>
      <c r="C159" s="5"/>
      <c r="D159" s="6"/>
      <c r="E159" s="6"/>
      <c r="F159" s="6"/>
      <c r="G159" s="6"/>
      <c r="H159" s="246"/>
      <c r="I159" s="6"/>
      <c r="J159" s="6"/>
      <c r="K159" s="6"/>
      <c r="L159" s="6"/>
      <c r="N159" s="6"/>
      <c r="Q159" s="6"/>
      <c r="T159" s="6"/>
      <c r="W159" s="6"/>
      <c r="Z159" s="6"/>
      <c r="AC159" s="6"/>
      <c r="AF159" s="6"/>
      <c r="AI159" s="6"/>
      <c r="AL159" s="6"/>
      <c r="AO159" s="6"/>
      <c r="AR159" s="6"/>
      <c r="AU159" s="6"/>
    </row>
    <row r="160" spans="1:54" ht="14.25" customHeight="1" x14ac:dyDescent="0.2">
      <c r="A160" s="5"/>
      <c r="B160" s="5"/>
      <c r="C160" s="5"/>
      <c r="D160" s="6"/>
      <c r="E160" s="6"/>
      <c r="F160" s="6"/>
      <c r="G160" s="6"/>
      <c r="H160" s="246"/>
      <c r="I160" s="6"/>
      <c r="J160" s="6"/>
      <c r="K160" s="6"/>
      <c r="L160" s="6"/>
      <c r="N160" s="6"/>
      <c r="Q160" s="6"/>
      <c r="T160" s="6"/>
      <c r="W160" s="6"/>
      <c r="Z160" s="6"/>
      <c r="AC160" s="6"/>
      <c r="AF160" s="6"/>
      <c r="AI160" s="6"/>
      <c r="AL160" s="6"/>
      <c r="AO160" s="6"/>
      <c r="AR160" s="6"/>
      <c r="AU160" s="6"/>
    </row>
    <row r="161" spans="1:4" ht="14.25" customHeight="1" x14ac:dyDescent="0.2">
      <c r="A161" s="5"/>
      <c r="B161" s="5"/>
      <c r="C161" s="5"/>
      <c r="D161" s="6"/>
    </row>
    <row r="162" spans="1:4" ht="14.25" customHeight="1" x14ac:dyDescent="0.2">
      <c r="A162" s="5"/>
      <c r="B162" s="5"/>
      <c r="C162" s="5"/>
      <c r="D162" s="6"/>
    </row>
    <row r="163" spans="1:4" ht="14.25" customHeight="1" x14ac:dyDescent="0.2">
      <c r="A163" s="5"/>
      <c r="B163" s="5"/>
      <c r="C163" s="5"/>
      <c r="D163" s="350"/>
    </row>
    <row r="164" spans="1:4" ht="14.25" customHeight="1" x14ac:dyDescent="0.2">
      <c r="A164" s="5"/>
      <c r="B164" s="5"/>
      <c r="C164" s="5"/>
      <c r="D164" s="6"/>
    </row>
    <row r="165" spans="1:4" ht="14.25" customHeight="1" x14ac:dyDescent="0.2">
      <c r="A165" s="5"/>
      <c r="B165" s="5"/>
      <c r="C165" s="5"/>
      <c r="D165" s="6"/>
    </row>
    <row r="166" spans="1:4" ht="14.25" customHeight="1" x14ac:dyDescent="0.2">
      <c r="A166" s="5"/>
      <c r="B166" s="5"/>
      <c r="C166" s="5"/>
      <c r="D166" s="6"/>
    </row>
    <row r="167" spans="1:4" ht="14.25" customHeight="1" x14ac:dyDescent="0.2">
      <c r="A167" s="5"/>
      <c r="B167" s="5"/>
      <c r="C167" s="5"/>
      <c r="D167" s="6"/>
    </row>
    <row r="168" spans="1:4" ht="14.25" customHeight="1" x14ac:dyDescent="0.2">
      <c r="A168" s="5"/>
      <c r="B168" s="5"/>
      <c r="C168" s="5"/>
      <c r="D168" s="6"/>
    </row>
    <row r="169" spans="1:4" ht="14.25" customHeight="1" x14ac:dyDescent="0.2">
      <c r="A169" s="5"/>
      <c r="B169" s="5"/>
      <c r="C169" s="5"/>
      <c r="D169" s="6"/>
    </row>
    <row r="170" spans="1:4" ht="14.25" customHeight="1" x14ac:dyDescent="0.2">
      <c r="A170" s="5"/>
      <c r="B170" s="5"/>
      <c r="C170" s="5"/>
      <c r="D170" s="6"/>
    </row>
    <row r="171" spans="1:4" ht="14.25" customHeight="1" x14ac:dyDescent="0.2">
      <c r="A171" s="5"/>
      <c r="B171" s="5"/>
      <c r="C171" s="5"/>
      <c r="D171" s="6"/>
    </row>
    <row r="172" spans="1:4" ht="14.25" customHeight="1" x14ac:dyDescent="0.2">
      <c r="A172" s="5"/>
      <c r="B172" s="5"/>
      <c r="C172" s="5"/>
      <c r="D172" s="6"/>
    </row>
    <row r="173" spans="1:4" ht="14.25" customHeight="1" x14ac:dyDescent="0.2">
      <c r="A173" s="5"/>
      <c r="B173" s="5"/>
      <c r="C173" s="5"/>
      <c r="D173" s="6"/>
    </row>
    <row r="174" spans="1:4" ht="14.25" customHeight="1" x14ac:dyDescent="0.2">
      <c r="A174" s="5"/>
      <c r="B174" s="5"/>
      <c r="C174" s="5"/>
      <c r="D174" s="6"/>
    </row>
    <row r="175" spans="1:4" ht="14.25" customHeight="1" x14ac:dyDescent="0.2">
      <c r="A175" s="5"/>
      <c r="B175" s="5"/>
      <c r="C175" s="5"/>
      <c r="D175" s="6"/>
    </row>
    <row r="176" spans="1:4" ht="14.25" customHeight="1" x14ac:dyDescent="0.2">
      <c r="A176" s="5"/>
      <c r="B176" s="5"/>
      <c r="C176" s="5"/>
      <c r="D176" s="6"/>
    </row>
    <row r="177" spans="1:1" ht="14.25" customHeight="1" x14ac:dyDescent="0.2">
      <c r="A177" s="5"/>
    </row>
    <row r="178" spans="1:1" ht="14.25" customHeight="1" x14ac:dyDescent="0.2">
      <c r="A178" s="5"/>
    </row>
    <row r="179" spans="1:1" ht="14.25" customHeight="1" x14ac:dyDescent="0.2">
      <c r="A179" s="5"/>
    </row>
    <row r="180" spans="1:1" ht="14.25" customHeight="1" x14ac:dyDescent="0.2">
      <c r="A180" s="5"/>
    </row>
    <row r="181" spans="1:1" ht="14.25" customHeight="1" x14ac:dyDescent="0.2">
      <c r="A181" s="5"/>
    </row>
    <row r="182" spans="1:1" ht="14.25" customHeight="1" x14ac:dyDescent="0.2">
      <c r="A182" s="5"/>
    </row>
    <row r="183" spans="1:1" ht="14.25" customHeight="1" x14ac:dyDescent="0.2">
      <c r="A183" s="5"/>
    </row>
    <row r="184" spans="1:1" ht="14.25" customHeight="1" x14ac:dyDescent="0.2">
      <c r="A184" s="5"/>
    </row>
    <row r="185" spans="1:1" ht="14.25" customHeight="1" x14ac:dyDescent="0.2">
      <c r="A185" s="5"/>
    </row>
    <row r="186" spans="1:1" ht="14.25" customHeight="1" x14ac:dyDescent="0.2">
      <c r="A186" s="5"/>
    </row>
    <row r="187" spans="1:1" ht="14.25" customHeight="1" x14ac:dyDescent="0.2">
      <c r="A187" s="5"/>
    </row>
    <row r="188" spans="1:1" ht="14.25" customHeight="1" x14ac:dyDescent="0.2">
      <c r="A188" s="5"/>
    </row>
    <row r="189" spans="1:1" ht="14.25" customHeight="1" x14ac:dyDescent="0.2">
      <c r="A189" s="5"/>
    </row>
    <row r="190" spans="1:1" ht="14.25" customHeight="1" x14ac:dyDescent="0.2">
      <c r="A190" s="5"/>
    </row>
    <row r="191" spans="1:1" ht="14.25" customHeight="1" x14ac:dyDescent="0.2">
      <c r="A191" s="5"/>
    </row>
    <row r="192" spans="1:1" ht="14.25" customHeight="1" x14ac:dyDescent="0.2">
      <c r="A192" s="5"/>
    </row>
    <row r="193" spans="1:1" ht="14.25" customHeight="1" x14ac:dyDescent="0.2">
      <c r="A193" s="5"/>
    </row>
    <row r="194" spans="1:1" ht="14.25" customHeight="1" x14ac:dyDescent="0.2">
      <c r="A194" s="5"/>
    </row>
    <row r="195" spans="1:1" ht="14.25" customHeight="1" x14ac:dyDescent="0.2">
      <c r="A195" s="5"/>
    </row>
    <row r="196" spans="1:1" ht="14.25" customHeight="1" x14ac:dyDescent="0.2">
      <c r="A196" s="5"/>
    </row>
    <row r="197" spans="1:1" ht="14.25" customHeight="1" x14ac:dyDescent="0.2">
      <c r="A197" s="5"/>
    </row>
    <row r="198" spans="1:1" ht="14.25" customHeight="1" x14ac:dyDescent="0.2">
      <c r="A198" s="5"/>
    </row>
    <row r="199" spans="1:1" ht="14.25" customHeight="1" x14ac:dyDescent="0.2">
      <c r="A199" s="5"/>
    </row>
    <row r="200" spans="1:1" ht="14.25" customHeight="1" x14ac:dyDescent="0.2">
      <c r="A200" s="5"/>
    </row>
    <row r="201" spans="1:1" ht="14.25" customHeight="1" x14ac:dyDescent="0.2">
      <c r="A201" s="5"/>
    </row>
    <row r="202" spans="1:1" ht="14.25" customHeight="1" x14ac:dyDescent="0.2">
      <c r="A202" s="5"/>
    </row>
    <row r="203" spans="1:1" ht="14.25" customHeight="1" x14ac:dyDescent="0.2">
      <c r="A203" s="5"/>
    </row>
    <row r="204" spans="1:1" ht="14.25" customHeight="1" x14ac:dyDescent="0.2">
      <c r="A204" s="5"/>
    </row>
    <row r="205" spans="1:1" ht="14.25" customHeight="1" x14ac:dyDescent="0.2">
      <c r="A205" s="5"/>
    </row>
    <row r="206" spans="1:1" ht="14.25" customHeight="1" x14ac:dyDescent="0.2">
      <c r="A206" s="5"/>
    </row>
    <row r="207" spans="1:1" ht="14.25" customHeight="1" x14ac:dyDescent="0.2">
      <c r="A207" s="5"/>
    </row>
    <row r="208" spans="1:1" ht="14.25" customHeight="1" x14ac:dyDescent="0.2">
      <c r="A208" s="5"/>
    </row>
    <row r="209" spans="1:1" ht="14.25" customHeight="1" x14ac:dyDescent="0.2">
      <c r="A209" s="5"/>
    </row>
    <row r="210" spans="1:1" ht="14.25" customHeight="1" x14ac:dyDescent="0.2">
      <c r="A210" s="5"/>
    </row>
    <row r="211" spans="1:1" ht="14.25" customHeight="1" x14ac:dyDescent="0.2">
      <c r="A211" s="5"/>
    </row>
    <row r="212" spans="1:1" ht="14.25" customHeight="1" x14ac:dyDescent="0.2">
      <c r="A212" s="5"/>
    </row>
    <row r="213" spans="1:1" ht="14.25" customHeight="1" x14ac:dyDescent="0.2">
      <c r="A213" s="5"/>
    </row>
    <row r="214" spans="1:1" ht="14.25" customHeight="1" x14ac:dyDescent="0.2">
      <c r="A214" s="5"/>
    </row>
    <row r="215" spans="1:1" ht="14.25" customHeight="1" x14ac:dyDescent="0.2">
      <c r="A215" s="5"/>
    </row>
    <row r="216" spans="1:1" ht="14.25" customHeight="1" x14ac:dyDescent="0.2">
      <c r="A216" s="5"/>
    </row>
    <row r="217" spans="1:1" ht="14.25" customHeight="1" x14ac:dyDescent="0.2">
      <c r="A217" s="5"/>
    </row>
    <row r="218" spans="1:1" ht="14.25" customHeight="1" x14ac:dyDescent="0.2">
      <c r="A218" s="5"/>
    </row>
    <row r="219" spans="1:1" ht="14.25" customHeight="1" x14ac:dyDescent="0.2">
      <c r="A219" s="5"/>
    </row>
    <row r="220" spans="1:1" ht="14.25" customHeight="1" x14ac:dyDescent="0.2">
      <c r="A220" s="5"/>
    </row>
    <row r="221" spans="1:1" ht="14.25" customHeight="1" x14ac:dyDescent="0.2">
      <c r="A221" s="5"/>
    </row>
    <row r="222" spans="1:1" ht="14.25" customHeight="1" x14ac:dyDescent="0.2">
      <c r="A222" s="5"/>
    </row>
    <row r="223" spans="1:1" ht="14.25" customHeight="1" x14ac:dyDescent="0.2">
      <c r="A223" s="5"/>
    </row>
    <row r="224" spans="1:1" ht="14.25" customHeight="1" x14ac:dyDescent="0.2">
      <c r="A224" s="5"/>
    </row>
    <row r="225" spans="1:1" ht="14.25" customHeight="1" x14ac:dyDescent="0.2">
      <c r="A225" s="5"/>
    </row>
    <row r="226" spans="1:1" ht="14.25" customHeight="1" x14ac:dyDescent="0.2">
      <c r="A226" s="5"/>
    </row>
    <row r="227" spans="1:1" ht="14.25" customHeight="1" x14ac:dyDescent="0.2">
      <c r="A227" s="5"/>
    </row>
    <row r="228" spans="1:1" ht="14.25" customHeight="1" x14ac:dyDescent="0.2">
      <c r="A228" s="5"/>
    </row>
    <row r="229" spans="1:1" ht="14.25" customHeight="1" x14ac:dyDescent="0.2">
      <c r="A229" s="5"/>
    </row>
    <row r="230" spans="1:1" ht="14.25" customHeight="1" x14ac:dyDescent="0.2">
      <c r="A230" s="5"/>
    </row>
    <row r="231" spans="1:1" ht="14.25" customHeight="1" x14ac:dyDescent="0.2">
      <c r="A231" s="5"/>
    </row>
    <row r="232" spans="1:1" ht="14.25" customHeight="1" x14ac:dyDescent="0.2">
      <c r="A232" s="5"/>
    </row>
    <row r="233" spans="1:1" ht="14.25" customHeight="1" x14ac:dyDescent="0.2">
      <c r="A233" s="5"/>
    </row>
    <row r="234" spans="1:1" ht="14.25" customHeight="1" x14ac:dyDescent="0.2">
      <c r="A234" s="5"/>
    </row>
    <row r="235" spans="1:1" ht="14.25" customHeight="1" x14ac:dyDescent="0.2">
      <c r="A235" s="5"/>
    </row>
    <row r="236" spans="1:1" ht="14.25" customHeight="1" x14ac:dyDescent="0.2">
      <c r="A236" s="5"/>
    </row>
    <row r="237" spans="1:1" ht="14.25" customHeight="1" x14ac:dyDescent="0.2">
      <c r="A237" s="5"/>
    </row>
    <row r="238" spans="1:1" ht="14.25" customHeight="1" x14ac:dyDescent="0.2">
      <c r="A238" s="5"/>
    </row>
    <row r="239" spans="1:1" ht="14.25" customHeight="1" x14ac:dyDescent="0.2">
      <c r="A239" s="5"/>
    </row>
    <row r="240" spans="1:1" ht="14.25" customHeight="1" x14ac:dyDescent="0.2">
      <c r="A240" s="5"/>
    </row>
    <row r="241" spans="1:1" ht="14.25" customHeight="1" x14ac:dyDescent="0.2">
      <c r="A241" s="5"/>
    </row>
    <row r="242" spans="1:1" ht="14.25" customHeight="1" x14ac:dyDescent="0.2">
      <c r="A242" s="5"/>
    </row>
    <row r="243" spans="1:1" ht="14.25" customHeight="1" x14ac:dyDescent="0.2">
      <c r="A243" s="5"/>
    </row>
    <row r="244" spans="1:1" ht="14.25" customHeight="1" x14ac:dyDescent="0.2">
      <c r="A244" s="5"/>
    </row>
    <row r="245" spans="1:1" ht="14.25" customHeight="1" x14ac:dyDescent="0.2">
      <c r="A245" s="5"/>
    </row>
    <row r="246" spans="1:1" ht="14.25" customHeight="1" x14ac:dyDescent="0.2">
      <c r="A246" s="5"/>
    </row>
    <row r="247" spans="1:1" ht="14.25" customHeight="1" x14ac:dyDescent="0.2">
      <c r="A247" s="5"/>
    </row>
    <row r="248" spans="1:1" ht="14.25" customHeight="1" x14ac:dyDescent="0.2">
      <c r="A248" s="5"/>
    </row>
    <row r="249" spans="1:1" ht="14.25" customHeight="1" x14ac:dyDescent="0.2">
      <c r="A249" s="5"/>
    </row>
    <row r="250" spans="1:1" ht="14.25" customHeight="1" x14ac:dyDescent="0.2">
      <c r="A250" s="5"/>
    </row>
    <row r="251" spans="1:1" ht="14.25" customHeight="1" x14ac:dyDescent="0.2">
      <c r="A251" s="5"/>
    </row>
    <row r="252" spans="1:1" ht="14.25" customHeight="1" x14ac:dyDescent="0.2">
      <c r="A252" s="5"/>
    </row>
    <row r="253" spans="1:1" ht="14.25" customHeight="1" x14ac:dyDescent="0.2">
      <c r="A253" s="5"/>
    </row>
    <row r="254" spans="1:1" ht="14.25" customHeight="1" x14ac:dyDescent="0.2">
      <c r="A254" s="5"/>
    </row>
    <row r="255" spans="1:1" ht="14.25" customHeight="1" x14ac:dyDescent="0.2">
      <c r="A255" s="5"/>
    </row>
    <row r="256" spans="1:1" ht="14.25" customHeight="1" x14ac:dyDescent="0.2">
      <c r="A256" s="5"/>
    </row>
    <row r="257" spans="1:1" ht="14.25" customHeight="1" x14ac:dyDescent="0.2">
      <c r="A257" s="5"/>
    </row>
    <row r="258" spans="1:1" ht="14.25" customHeight="1" x14ac:dyDescent="0.2">
      <c r="A258" s="5"/>
    </row>
    <row r="259" spans="1:1" ht="14.25" customHeight="1" x14ac:dyDescent="0.2">
      <c r="A259" s="5"/>
    </row>
    <row r="260" spans="1:1" ht="14.25" customHeight="1" x14ac:dyDescent="0.2">
      <c r="A260" s="5"/>
    </row>
    <row r="261" spans="1:1" ht="14.25" customHeight="1" x14ac:dyDescent="0.2">
      <c r="A261" s="5"/>
    </row>
    <row r="262" spans="1:1" ht="14.25" customHeight="1" x14ac:dyDescent="0.2">
      <c r="A262" s="5"/>
    </row>
    <row r="263" spans="1:1" ht="14.25" customHeight="1" x14ac:dyDescent="0.2">
      <c r="A263" s="5"/>
    </row>
    <row r="264" spans="1:1" ht="14.25" customHeight="1" x14ac:dyDescent="0.2">
      <c r="A264" s="5"/>
    </row>
    <row r="265" spans="1:1" ht="14.25" customHeight="1" x14ac:dyDescent="0.2">
      <c r="A265" s="5"/>
    </row>
    <row r="266" spans="1:1" ht="14.25" customHeight="1" x14ac:dyDescent="0.2">
      <c r="A266" s="5"/>
    </row>
    <row r="267" spans="1:1" ht="14.25" customHeight="1" x14ac:dyDescent="0.2">
      <c r="A267" s="5"/>
    </row>
    <row r="268" spans="1:1" ht="14.25" customHeight="1" x14ac:dyDescent="0.2">
      <c r="A268" s="5"/>
    </row>
    <row r="269" spans="1:1" ht="14.25" customHeight="1" x14ac:dyDescent="0.2">
      <c r="A269" s="5"/>
    </row>
    <row r="270" spans="1:1" ht="14.25" customHeight="1" x14ac:dyDescent="0.2">
      <c r="A270" s="5"/>
    </row>
    <row r="271" spans="1:1" ht="14.25" customHeight="1" x14ac:dyDescent="0.2">
      <c r="A271" s="5"/>
    </row>
    <row r="272" spans="1:1" ht="14.25" customHeight="1" x14ac:dyDescent="0.2">
      <c r="A272" s="5"/>
    </row>
    <row r="273" spans="1:1" ht="14.25" customHeight="1" x14ac:dyDescent="0.2">
      <c r="A273" s="5"/>
    </row>
    <row r="274" spans="1:1" ht="14.25" customHeight="1" x14ac:dyDescent="0.2">
      <c r="A274" s="5"/>
    </row>
    <row r="275" spans="1:1" ht="14.25" customHeight="1" x14ac:dyDescent="0.2">
      <c r="A275" s="5"/>
    </row>
    <row r="276" spans="1:1" ht="14.25" customHeight="1" x14ac:dyDescent="0.2">
      <c r="A276" s="5"/>
    </row>
    <row r="277" spans="1:1" ht="14.25" customHeight="1" x14ac:dyDescent="0.2">
      <c r="A277" s="5"/>
    </row>
    <row r="278" spans="1:1" ht="14.25" customHeight="1" x14ac:dyDescent="0.2">
      <c r="A278" s="5"/>
    </row>
    <row r="279" spans="1:1" ht="14.25" customHeight="1" x14ac:dyDescent="0.2">
      <c r="A279" s="5"/>
    </row>
    <row r="280" spans="1:1" ht="14.25" customHeight="1" x14ac:dyDescent="0.2">
      <c r="A280" s="5"/>
    </row>
    <row r="281" spans="1:1" ht="14.25" customHeight="1" x14ac:dyDescent="0.2">
      <c r="A281" s="5"/>
    </row>
    <row r="282" spans="1:1" ht="14.25" customHeight="1" x14ac:dyDescent="0.2">
      <c r="A282" s="5"/>
    </row>
    <row r="283" spans="1:1" ht="14.25" customHeight="1" x14ac:dyDescent="0.2">
      <c r="A283" s="5"/>
    </row>
    <row r="284" spans="1:1" ht="14.25" customHeight="1" x14ac:dyDescent="0.2">
      <c r="A284" s="5"/>
    </row>
    <row r="285" spans="1:1" ht="14.25" customHeight="1" x14ac:dyDescent="0.2">
      <c r="A285" s="5"/>
    </row>
    <row r="286" spans="1:1" ht="14.25" customHeight="1" x14ac:dyDescent="0.2">
      <c r="A286" s="5"/>
    </row>
    <row r="287" spans="1:1" ht="14.25" customHeight="1" x14ac:dyDescent="0.2">
      <c r="A287" s="5"/>
    </row>
    <row r="288" spans="1:1" ht="14.25" customHeight="1" x14ac:dyDescent="0.2">
      <c r="A288" s="5"/>
    </row>
    <row r="289" spans="1:1" ht="14.25" customHeight="1" x14ac:dyDescent="0.2">
      <c r="A289" s="5"/>
    </row>
    <row r="290" spans="1:1" ht="14.25" customHeight="1" x14ac:dyDescent="0.2">
      <c r="A290" s="5"/>
    </row>
    <row r="291" spans="1:1" ht="14.25" customHeight="1" x14ac:dyDescent="0.2">
      <c r="A291" s="5"/>
    </row>
    <row r="292" spans="1:1" ht="14.25" customHeight="1" x14ac:dyDescent="0.2">
      <c r="A292" s="5"/>
    </row>
    <row r="293" spans="1:1" ht="14.25" customHeight="1" x14ac:dyDescent="0.2">
      <c r="A293" s="5"/>
    </row>
    <row r="294" spans="1:1" ht="14.25" customHeight="1" x14ac:dyDescent="0.2">
      <c r="A294" s="5"/>
    </row>
    <row r="295" spans="1:1" ht="14.25" customHeight="1" x14ac:dyDescent="0.2">
      <c r="A295" s="5"/>
    </row>
    <row r="296" spans="1:1" ht="14.25" customHeight="1" x14ac:dyDescent="0.2">
      <c r="A296" s="5"/>
    </row>
    <row r="297" spans="1:1" ht="14.25" customHeight="1" x14ac:dyDescent="0.2">
      <c r="A297" s="5"/>
    </row>
    <row r="298" spans="1:1" ht="14.25" customHeight="1" x14ac:dyDescent="0.2">
      <c r="A298" s="5"/>
    </row>
    <row r="299" spans="1:1" ht="14.25" customHeight="1" x14ac:dyDescent="0.2">
      <c r="A299" s="5"/>
    </row>
    <row r="300" spans="1:1" ht="14.25" customHeight="1" x14ac:dyDescent="0.2">
      <c r="A300" s="5"/>
    </row>
    <row r="301" spans="1:1" ht="14.25" customHeight="1" x14ac:dyDescent="0.2">
      <c r="A301" s="5"/>
    </row>
    <row r="302" spans="1:1" ht="14.25" customHeight="1" x14ac:dyDescent="0.2">
      <c r="A302" s="5"/>
    </row>
    <row r="303" spans="1:1" ht="14.25" customHeight="1" x14ac:dyDescent="0.2">
      <c r="A303" s="5"/>
    </row>
    <row r="304" spans="1:1" ht="14.25" customHeight="1" x14ac:dyDescent="0.2">
      <c r="A304" s="5"/>
    </row>
    <row r="305" spans="1:1" ht="14.25" customHeight="1" x14ac:dyDescent="0.2">
      <c r="A305" s="5"/>
    </row>
    <row r="306" spans="1:1" ht="14.25" customHeight="1" x14ac:dyDescent="0.2">
      <c r="A306" s="5"/>
    </row>
    <row r="307" spans="1:1" ht="14.25" customHeight="1" x14ac:dyDescent="0.2">
      <c r="A307" s="5"/>
    </row>
    <row r="308" spans="1:1" ht="14.25" customHeight="1" x14ac:dyDescent="0.2">
      <c r="A308" s="5"/>
    </row>
    <row r="309" spans="1:1" ht="14.25" customHeight="1" x14ac:dyDescent="0.2">
      <c r="A309" s="5"/>
    </row>
    <row r="310" spans="1:1" ht="14.25" customHeight="1" x14ac:dyDescent="0.2">
      <c r="A310" s="5"/>
    </row>
    <row r="311" spans="1:1" ht="14.25" customHeight="1" x14ac:dyDescent="0.2">
      <c r="A311" s="5"/>
    </row>
    <row r="312" spans="1:1" ht="14.25" customHeight="1" x14ac:dyDescent="0.2">
      <c r="A312" s="5"/>
    </row>
    <row r="313" spans="1:1" ht="14.25" customHeight="1" x14ac:dyDescent="0.2">
      <c r="A313" s="5"/>
    </row>
    <row r="314" spans="1:1" ht="14.25" customHeight="1" x14ac:dyDescent="0.2">
      <c r="A314" s="5"/>
    </row>
    <row r="315" spans="1:1" ht="14.25" customHeight="1" x14ac:dyDescent="0.2">
      <c r="A315" s="5"/>
    </row>
    <row r="316" spans="1:1" ht="14.25" customHeight="1" x14ac:dyDescent="0.2">
      <c r="A316" s="5"/>
    </row>
    <row r="317" spans="1:1" ht="14.25" customHeight="1" x14ac:dyDescent="0.2">
      <c r="A317" s="5"/>
    </row>
    <row r="318" spans="1:1" ht="14.25" customHeight="1" x14ac:dyDescent="0.2">
      <c r="A318" s="5"/>
    </row>
    <row r="319" spans="1:1" ht="14.25" customHeight="1" x14ac:dyDescent="0.2">
      <c r="A319" s="5"/>
    </row>
    <row r="320" spans="1:1" ht="14.25" customHeight="1" x14ac:dyDescent="0.2">
      <c r="A320" s="5"/>
    </row>
    <row r="321" spans="1:1" ht="14.25" customHeight="1" x14ac:dyDescent="0.2">
      <c r="A321" s="5"/>
    </row>
    <row r="322" spans="1:1" ht="14.25" customHeight="1" x14ac:dyDescent="0.2">
      <c r="A322" s="5"/>
    </row>
    <row r="323" spans="1:1" ht="14.25" customHeight="1" x14ac:dyDescent="0.2">
      <c r="A323" s="5"/>
    </row>
    <row r="324" spans="1:1" ht="14.25" customHeight="1" x14ac:dyDescent="0.2">
      <c r="A324" s="5"/>
    </row>
    <row r="325" spans="1:1" ht="14.25" customHeight="1" x14ac:dyDescent="0.2">
      <c r="A325" s="5"/>
    </row>
    <row r="326" spans="1:1" ht="14.25" customHeight="1" x14ac:dyDescent="0.2">
      <c r="A326" s="5"/>
    </row>
    <row r="327" spans="1:1" ht="14.25" customHeight="1" x14ac:dyDescent="0.2">
      <c r="A327" s="5"/>
    </row>
    <row r="328" spans="1:1" ht="14.25" customHeight="1" x14ac:dyDescent="0.2">
      <c r="A328" s="5"/>
    </row>
    <row r="329" spans="1:1" ht="14.25" customHeight="1" x14ac:dyDescent="0.2">
      <c r="A329" s="5"/>
    </row>
    <row r="330" spans="1:1" ht="14.25" customHeight="1" x14ac:dyDescent="0.2">
      <c r="A330" s="5"/>
    </row>
    <row r="331" spans="1:1" ht="14.25" customHeight="1" x14ac:dyDescent="0.2">
      <c r="A331" s="5"/>
    </row>
    <row r="332" spans="1:1" ht="14.25" customHeight="1" x14ac:dyDescent="0.2">
      <c r="A332" s="5"/>
    </row>
    <row r="333" spans="1:1" ht="14.25" customHeight="1" x14ac:dyDescent="0.2">
      <c r="A333" s="5"/>
    </row>
    <row r="334" spans="1:1" ht="14.25" customHeight="1" x14ac:dyDescent="0.2">
      <c r="A334" s="5"/>
    </row>
    <row r="335" spans="1:1" ht="14.25" customHeight="1" x14ac:dyDescent="0.2">
      <c r="A335" s="5"/>
    </row>
    <row r="336" spans="1:1" ht="14.25" customHeight="1" x14ac:dyDescent="0.2">
      <c r="A336" s="5"/>
    </row>
    <row r="337" spans="1:1" ht="14.25" customHeight="1" x14ac:dyDescent="0.2">
      <c r="A337" s="5"/>
    </row>
    <row r="338" spans="1:1" ht="14.25" customHeight="1" x14ac:dyDescent="0.2">
      <c r="A338" s="5"/>
    </row>
    <row r="339" spans="1:1" ht="14.25" customHeight="1" x14ac:dyDescent="0.2">
      <c r="A339" s="5"/>
    </row>
    <row r="340" spans="1:1" ht="14.25" customHeight="1" x14ac:dyDescent="0.2">
      <c r="A340" s="5"/>
    </row>
    <row r="341" spans="1:1" ht="14.25" customHeight="1" x14ac:dyDescent="0.2">
      <c r="A341" s="5"/>
    </row>
    <row r="342" spans="1:1" ht="14.25" customHeight="1" x14ac:dyDescent="0.2">
      <c r="A342" s="5"/>
    </row>
    <row r="343" spans="1:1" ht="14.25" customHeight="1" x14ac:dyDescent="0.2">
      <c r="A343" s="5"/>
    </row>
    <row r="344" spans="1:1" ht="14.25" customHeight="1" x14ac:dyDescent="0.2">
      <c r="A344" s="5"/>
    </row>
    <row r="345" spans="1:1" ht="14.25" customHeight="1" x14ac:dyDescent="0.2">
      <c r="A345" s="5"/>
    </row>
    <row r="346" spans="1:1" ht="14.25" customHeight="1" x14ac:dyDescent="0.2">
      <c r="A346" s="5"/>
    </row>
    <row r="347" spans="1:1" ht="14.25" customHeight="1" x14ac:dyDescent="0.2">
      <c r="A347" s="5"/>
    </row>
    <row r="348" spans="1:1" ht="14.25" customHeight="1" x14ac:dyDescent="0.2">
      <c r="A348" s="5"/>
    </row>
    <row r="349" spans="1:1" ht="14.25" customHeight="1" x14ac:dyDescent="0.2">
      <c r="A349" s="5"/>
    </row>
    <row r="350" spans="1:1" ht="14.25" customHeight="1" x14ac:dyDescent="0.2">
      <c r="A350" s="5"/>
    </row>
    <row r="351" spans="1:1" ht="14.25" customHeight="1" x14ac:dyDescent="0.2">
      <c r="A351" s="5"/>
    </row>
    <row r="352" spans="1:1" ht="14.25" customHeight="1" x14ac:dyDescent="0.2">
      <c r="A352" s="5"/>
    </row>
    <row r="353" spans="1:1" ht="14.25" customHeight="1" x14ac:dyDescent="0.2">
      <c r="A353" s="5"/>
    </row>
    <row r="354" spans="1:1" ht="14.25" customHeight="1" x14ac:dyDescent="0.2">
      <c r="A354" s="5"/>
    </row>
    <row r="355" spans="1:1" ht="14.25" customHeight="1" x14ac:dyDescent="0.2">
      <c r="A355" s="5"/>
    </row>
    <row r="356" spans="1:1" ht="14.25" customHeight="1" x14ac:dyDescent="0.2">
      <c r="A356" s="5"/>
    </row>
    <row r="357" spans="1:1" ht="14.25" customHeight="1" x14ac:dyDescent="0.2">
      <c r="A357" s="5"/>
    </row>
    <row r="358" spans="1:1" ht="14.25" customHeight="1" x14ac:dyDescent="0.2">
      <c r="A358" s="5"/>
    </row>
    <row r="359" spans="1:1" ht="14.25" customHeight="1" x14ac:dyDescent="0.2">
      <c r="A359" s="5"/>
    </row>
    <row r="360" spans="1:1" ht="14.25" customHeight="1" x14ac:dyDescent="0.2">
      <c r="A360" s="5"/>
    </row>
    <row r="361" spans="1:1" ht="14.25" customHeight="1" x14ac:dyDescent="0.2">
      <c r="A361" s="5"/>
    </row>
    <row r="362" spans="1:1" ht="14.25" customHeight="1" x14ac:dyDescent="0.2">
      <c r="A362" s="5"/>
    </row>
    <row r="363" spans="1:1" ht="14.25" customHeight="1" x14ac:dyDescent="0.2">
      <c r="A363" s="5"/>
    </row>
    <row r="364" spans="1:1" ht="14.25" customHeight="1" x14ac:dyDescent="0.2">
      <c r="A364" s="5"/>
    </row>
    <row r="365" spans="1:1" ht="14.25" customHeight="1" x14ac:dyDescent="0.2">
      <c r="A365" s="5"/>
    </row>
    <row r="366" spans="1:1" ht="14.25" customHeight="1" x14ac:dyDescent="0.2">
      <c r="A366" s="5"/>
    </row>
    <row r="367" spans="1:1" ht="14.25" customHeight="1" x14ac:dyDescent="0.2">
      <c r="A367" s="5"/>
    </row>
    <row r="368" spans="1:1" ht="14.25" customHeight="1" x14ac:dyDescent="0.2">
      <c r="A368" s="5"/>
    </row>
    <row r="369" spans="1:1" ht="14.25" customHeight="1" x14ac:dyDescent="0.2">
      <c r="A369" s="5"/>
    </row>
    <row r="370" spans="1:1" ht="14.25" customHeight="1" x14ac:dyDescent="0.2">
      <c r="A370" s="5"/>
    </row>
    <row r="371" spans="1:1" ht="14.25" customHeight="1" x14ac:dyDescent="0.2">
      <c r="A371" s="5"/>
    </row>
    <row r="372" spans="1:1" ht="14.25" customHeight="1" x14ac:dyDescent="0.2">
      <c r="A372" s="5"/>
    </row>
    <row r="373" spans="1:1" ht="14.25" customHeight="1" x14ac:dyDescent="0.2">
      <c r="A373" s="5"/>
    </row>
    <row r="374" spans="1:1" ht="14.25" customHeight="1" x14ac:dyDescent="0.2">
      <c r="A374" s="5"/>
    </row>
    <row r="375" spans="1:1" ht="14.25" customHeight="1" x14ac:dyDescent="0.2">
      <c r="A375" s="5"/>
    </row>
    <row r="376" spans="1:1" ht="14.25" customHeight="1" x14ac:dyDescent="0.2">
      <c r="A376" s="5"/>
    </row>
    <row r="377" spans="1:1" ht="14.25" customHeight="1" x14ac:dyDescent="0.2">
      <c r="A377" s="5"/>
    </row>
    <row r="378" spans="1:1" ht="14.25" customHeight="1" x14ac:dyDescent="0.2">
      <c r="A378" s="5"/>
    </row>
    <row r="379" spans="1:1" ht="14.25" customHeight="1" x14ac:dyDescent="0.2">
      <c r="A379" s="5"/>
    </row>
    <row r="380" spans="1:1" ht="14.25" customHeight="1" x14ac:dyDescent="0.2">
      <c r="A380" s="5"/>
    </row>
    <row r="381" spans="1:1" ht="14.25" customHeight="1" x14ac:dyDescent="0.2">
      <c r="A381" s="5"/>
    </row>
    <row r="382" spans="1:1" ht="14.25" customHeight="1" x14ac:dyDescent="0.2">
      <c r="A382" s="5"/>
    </row>
    <row r="383" spans="1:1" ht="14.25" customHeight="1" x14ac:dyDescent="0.2">
      <c r="A383" s="5"/>
    </row>
    <row r="384" spans="1:1" ht="14.25" customHeight="1" x14ac:dyDescent="0.2">
      <c r="A384" s="5"/>
    </row>
    <row r="385" spans="1:1" ht="14.25" customHeight="1" x14ac:dyDescent="0.2">
      <c r="A385" s="5"/>
    </row>
    <row r="386" spans="1:1" ht="14.25" customHeight="1" x14ac:dyDescent="0.2">
      <c r="A386" s="5"/>
    </row>
    <row r="387" spans="1:1" ht="14.25" customHeight="1" x14ac:dyDescent="0.2">
      <c r="A387" s="5"/>
    </row>
    <row r="388" spans="1:1" ht="14.25" customHeight="1" x14ac:dyDescent="0.2">
      <c r="A388" s="5"/>
    </row>
    <row r="389" spans="1:1" ht="14.25" customHeight="1" x14ac:dyDescent="0.2">
      <c r="A389" s="5"/>
    </row>
    <row r="390" spans="1:1" ht="14.25" customHeight="1" x14ac:dyDescent="0.2">
      <c r="A390" s="5"/>
    </row>
    <row r="391" spans="1:1" ht="14.25" customHeight="1" x14ac:dyDescent="0.2">
      <c r="A391" s="5"/>
    </row>
    <row r="392" spans="1:1" ht="14.25" customHeight="1" x14ac:dyDescent="0.2">
      <c r="A392" s="5"/>
    </row>
    <row r="393" spans="1:1" ht="14.25" customHeight="1" x14ac:dyDescent="0.2">
      <c r="A393" s="5"/>
    </row>
    <row r="394" spans="1:1" ht="14.25" customHeight="1" x14ac:dyDescent="0.2">
      <c r="A394" s="5"/>
    </row>
    <row r="395" spans="1:1" ht="14.25" customHeight="1" x14ac:dyDescent="0.2">
      <c r="A395" s="5"/>
    </row>
    <row r="396" spans="1:1" ht="14.25" customHeight="1" x14ac:dyDescent="0.2">
      <c r="A396" s="5"/>
    </row>
    <row r="397" spans="1:1" ht="14.25" customHeight="1" x14ac:dyDescent="0.2">
      <c r="A397" s="5"/>
    </row>
    <row r="398" spans="1:1" ht="14.25" customHeight="1" x14ac:dyDescent="0.2">
      <c r="A398" s="5"/>
    </row>
    <row r="399" spans="1:1" ht="14.25" customHeight="1" x14ac:dyDescent="0.2">
      <c r="A399" s="5"/>
    </row>
    <row r="400" spans="1:1" ht="14.25" customHeight="1" x14ac:dyDescent="0.2">
      <c r="A400" s="5"/>
    </row>
    <row r="401" spans="1:1" ht="14.25" customHeight="1" x14ac:dyDescent="0.2">
      <c r="A401" s="5"/>
    </row>
    <row r="402" spans="1:1" ht="14.25" customHeight="1" x14ac:dyDescent="0.2">
      <c r="A402" s="5"/>
    </row>
    <row r="403" spans="1:1" ht="14.25" customHeight="1" x14ac:dyDescent="0.2">
      <c r="A403" s="5"/>
    </row>
    <row r="404" spans="1:1" ht="14.25" customHeight="1" x14ac:dyDescent="0.2">
      <c r="A404" s="5"/>
    </row>
    <row r="405" spans="1:1" ht="14.25" customHeight="1" x14ac:dyDescent="0.2">
      <c r="A405" s="5"/>
    </row>
    <row r="406" spans="1:1" ht="14.25" customHeight="1" x14ac:dyDescent="0.2">
      <c r="A406" s="5"/>
    </row>
    <row r="407" spans="1:1" ht="14.25" customHeight="1" x14ac:dyDescent="0.2">
      <c r="A407" s="5"/>
    </row>
    <row r="408" spans="1:1" ht="14.25" customHeight="1" x14ac:dyDescent="0.2">
      <c r="A408" s="5"/>
    </row>
    <row r="409" spans="1:1" ht="14.25" customHeight="1" x14ac:dyDescent="0.2">
      <c r="A409" s="5"/>
    </row>
    <row r="410" spans="1:1" ht="14.25" customHeight="1" x14ac:dyDescent="0.2">
      <c r="A410" s="5"/>
    </row>
    <row r="411" spans="1:1" ht="14.25" customHeight="1" x14ac:dyDescent="0.2">
      <c r="A411" s="5"/>
    </row>
    <row r="412" spans="1:1" ht="14.25" customHeight="1" x14ac:dyDescent="0.2">
      <c r="A412" s="5"/>
    </row>
    <row r="413" spans="1:1" ht="14.25" customHeight="1" x14ac:dyDescent="0.2">
      <c r="A413" s="5"/>
    </row>
    <row r="414" spans="1:1" ht="14.25" customHeight="1" x14ac:dyDescent="0.2">
      <c r="A414" s="5"/>
    </row>
    <row r="415" spans="1:1" ht="14.25" customHeight="1" x14ac:dyDescent="0.2">
      <c r="A415" s="5"/>
    </row>
    <row r="416" spans="1:1" ht="14.25" customHeight="1" x14ac:dyDescent="0.2">
      <c r="A416" s="5"/>
    </row>
    <row r="417" spans="1:1" ht="14.25" customHeight="1" x14ac:dyDescent="0.2">
      <c r="A417" s="5"/>
    </row>
    <row r="418" spans="1:1" ht="14.25" customHeight="1" x14ac:dyDescent="0.2">
      <c r="A418" s="5"/>
    </row>
    <row r="419" spans="1:1" ht="14.25" customHeight="1" x14ac:dyDescent="0.2">
      <c r="A419" s="5"/>
    </row>
    <row r="420" spans="1:1" ht="14.25" customHeight="1" x14ac:dyDescent="0.2">
      <c r="A420" s="5"/>
    </row>
    <row r="421" spans="1:1" ht="14.25" customHeight="1" x14ac:dyDescent="0.2">
      <c r="A421" s="5"/>
    </row>
    <row r="422" spans="1:1" ht="14.25" customHeight="1" x14ac:dyDescent="0.2">
      <c r="A422" s="5"/>
    </row>
    <row r="423" spans="1:1" ht="14.25" customHeight="1" x14ac:dyDescent="0.2">
      <c r="A423" s="5"/>
    </row>
    <row r="424" spans="1:1" ht="14.25" customHeight="1" x14ac:dyDescent="0.2">
      <c r="A424" s="5"/>
    </row>
    <row r="425" spans="1:1" ht="14.25" customHeight="1" x14ac:dyDescent="0.2">
      <c r="A425" s="5"/>
    </row>
    <row r="426" spans="1:1" ht="14.25" customHeight="1" x14ac:dyDescent="0.2">
      <c r="A426" s="5"/>
    </row>
    <row r="427" spans="1:1" ht="14.25" customHeight="1" x14ac:dyDescent="0.2">
      <c r="A427" s="5"/>
    </row>
    <row r="428" spans="1:1" ht="14.25" customHeight="1" x14ac:dyDescent="0.2">
      <c r="A428" s="5"/>
    </row>
    <row r="429" spans="1:1" ht="14.25" customHeight="1" x14ac:dyDescent="0.2">
      <c r="A429" s="5"/>
    </row>
    <row r="430" spans="1:1" ht="14.25" customHeight="1" x14ac:dyDescent="0.2">
      <c r="A430" s="5"/>
    </row>
    <row r="431" spans="1:1" ht="14.25" customHeight="1" x14ac:dyDescent="0.2">
      <c r="A431" s="5"/>
    </row>
    <row r="432" spans="1:1" ht="14.25" customHeight="1" x14ac:dyDescent="0.2">
      <c r="A432" s="5"/>
    </row>
    <row r="433" spans="1:1" ht="14.25" customHeight="1" x14ac:dyDescent="0.2">
      <c r="A433" s="5"/>
    </row>
    <row r="434" spans="1:1" ht="14.25" customHeight="1" x14ac:dyDescent="0.2">
      <c r="A434" s="5"/>
    </row>
    <row r="435" spans="1:1" ht="14.25" customHeight="1" x14ac:dyDescent="0.2">
      <c r="A435" s="5"/>
    </row>
    <row r="436" spans="1:1" ht="14.25" customHeight="1" x14ac:dyDescent="0.2">
      <c r="A436" s="5"/>
    </row>
    <row r="437" spans="1:1" ht="14.25" customHeight="1" x14ac:dyDescent="0.2">
      <c r="A437" s="5"/>
    </row>
    <row r="438" spans="1:1" ht="14.25" customHeight="1" x14ac:dyDescent="0.2">
      <c r="A438" s="5"/>
    </row>
    <row r="439" spans="1:1" ht="14.25" customHeight="1" x14ac:dyDescent="0.2">
      <c r="A439" s="5"/>
    </row>
    <row r="440" spans="1:1" ht="14.25" customHeight="1" x14ac:dyDescent="0.2">
      <c r="A440" s="5"/>
    </row>
    <row r="441" spans="1:1" ht="14.25" customHeight="1" x14ac:dyDescent="0.2">
      <c r="A441" s="5"/>
    </row>
    <row r="442" spans="1:1" ht="14.25" customHeight="1" x14ac:dyDescent="0.2">
      <c r="A442" s="5"/>
    </row>
    <row r="443" spans="1:1" ht="14.25" customHeight="1" x14ac:dyDescent="0.2">
      <c r="A443" s="5"/>
    </row>
    <row r="444" spans="1:1" ht="14.25" customHeight="1" x14ac:dyDescent="0.2">
      <c r="A444" s="5"/>
    </row>
    <row r="445" spans="1:1" ht="14.25" customHeight="1" x14ac:dyDescent="0.2">
      <c r="A445" s="5"/>
    </row>
    <row r="446" spans="1:1" ht="14.25" customHeight="1" x14ac:dyDescent="0.2">
      <c r="A446" s="5"/>
    </row>
    <row r="447" spans="1:1" ht="14.25" customHeight="1" x14ac:dyDescent="0.2">
      <c r="A447" s="5"/>
    </row>
    <row r="448" spans="1:1" ht="14.25" customHeight="1" x14ac:dyDescent="0.2">
      <c r="A448" s="5"/>
    </row>
    <row r="449" spans="1:1" ht="14.25" customHeight="1" x14ac:dyDescent="0.2">
      <c r="A449" s="5"/>
    </row>
    <row r="450" spans="1:1" ht="14.25" customHeight="1" x14ac:dyDescent="0.2">
      <c r="A450" s="5"/>
    </row>
    <row r="451" spans="1:1" ht="14.25" customHeight="1" x14ac:dyDescent="0.2">
      <c r="A451" s="5"/>
    </row>
    <row r="452" spans="1:1" ht="14.25" customHeight="1" x14ac:dyDescent="0.2">
      <c r="A452" s="5"/>
    </row>
    <row r="453" spans="1:1" ht="14.25" customHeight="1" x14ac:dyDescent="0.2">
      <c r="A453" s="5"/>
    </row>
    <row r="454" spans="1:1" ht="14.25" customHeight="1" x14ac:dyDescent="0.2">
      <c r="A454" s="5"/>
    </row>
    <row r="455" spans="1:1" ht="14.25" customHeight="1" x14ac:dyDescent="0.2">
      <c r="A455" s="5"/>
    </row>
    <row r="456" spans="1:1" ht="14.25" customHeight="1" x14ac:dyDescent="0.2">
      <c r="A456" s="5"/>
    </row>
    <row r="457" spans="1:1" ht="14.25" customHeight="1" x14ac:dyDescent="0.2">
      <c r="A457" s="5"/>
    </row>
    <row r="458" spans="1:1" ht="14.25" customHeight="1" x14ac:dyDescent="0.2">
      <c r="A458" s="5"/>
    </row>
    <row r="459" spans="1:1" ht="14.25" customHeight="1" x14ac:dyDescent="0.2">
      <c r="A459" s="5"/>
    </row>
    <row r="460" spans="1:1" ht="14.25" customHeight="1" x14ac:dyDescent="0.2">
      <c r="A460" s="5"/>
    </row>
    <row r="461" spans="1:1" ht="14.25" customHeight="1" x14ac:dyDescent="0.2">
      <c r="A461" s="5"/>
    </row>
    <row r="462" spans="1:1" ht="14.25" customHeight="1" x14ac:dyDescent="0.2">
      <c r="A462" s="5"/>
    </row>
    <row r="463" spans="1:1" ht="14.25" customHeight="1" x14ac:dyDescent="0.2">
      <c r="A463" s="5"/>
    </row>
    <row r="464" spans="1:1" ht="14.25" customHeight="1" x14ac:dyDescent="0.2">
      <c r="A464" s="5"/>
    </row>
    <row r="465" spans="1:1" ht="14.25" customHeight="1" x14ac:dyDescent="0.2">
      <c r="A465" s="5"/>
    </row>
    <row r="466" spans="1:1" ht="14.25" customHeight="1" x14ac:dyDescent="0.2">
      <c r="A466" s="5"/>
    </row>
    <row r="467" spans="1:1" ht="14.25" customHeight="1" x14ac:dyDescent="0.2">
      <c r="A467" s="5"/>
    </row>
    <row r="468" spans="1:1" ht="14.25" customHeight="1" x14ac:dyDescent="0.2">
      <c r="A468" s="5"/>
    </row>
    <row r="469" spans="1:1" ht="14.25" customHeight="1" x14ac:dyDescent="0.2">
      <c r="A469" s="5"/>
    </row>
    <row r="470" spans="1:1" ht="14.25" customHeight="1" x14ac:dyDescent="0.2">
      <c r="A470" s="5"/>
    </row>
    <row r="471" spans="1:1" ht="14.25" customHeight="1" x14ac:dyDescent="0.2">
      <c r="A471" s="5"/>
    </row>
    <row r="472" spans="1:1" ht="14.25" customHeight="1" x14ac:dyDescent="0.2">
      <c r="A472" s="5"/>
    </row>
    <row r="473" spans="1:1" ht="14.25" customHeight="1" x14ac:dyDescent="0.2">
      <c r="A473" s="5"/>
    </row>
    <row r="474" spans="1:1" ht="14.25" customHeight="1" x14ac:dyDescent="0.2">
      <c r="A474" s="5"/>
    </row>
    <row r="475" spans="1:1" ht="14.25" customHeight="1" x14ac:dyDescent="0.2">
      <c r="A475" s="5"/>
    </row>
    <row r="476" spans="1:1" ht="14.25" customHeight="1" x14ac:dyDescent="0.2">
      <c r="A476" s="5"/>
    </row>
    <row r="477" spans="1:1" ht="14.25" customHeight="1" x14ac:dyDescent="0.2">
      <c r="A477" s="5"/>
    </row>
    <row r="478" spans="1:1" ht="14.25" customHeight="1" x14ac:dyDescent="0.2">
      <c r="A478" s="5"/>
    </row>
    <row r="479" spans="1:1" ht="14.25" customHeight="1" x14ac:dyDescent="0.2">
      <c r="A479" s="5"/>
    </row>
    <row r="480" spans="1:1" ht="14.25" customHeight="1" x14ac:dyDescent="0.2">
      <c r="A480" s="5"/>
    </row>
    <row r="481" spans="1:1" ht="14.25" customHeight="1" x14ac:dyDescent="0.2">
      <c r="A481" s="5"/>
    </row>
    <row r="482" spans="1:1" ht="14.25" customHeight="1" x14ac:dyDescent="0.2">
      <c r="A482" s="5"/>
    </row>
    <row r="483" spans="1:1" ht="14.25" customHeight="1" x14ac:dyDescent="0.2">
      <c r="A483" s="5"/>
    </row>
    <row r="484" spans="1:1" ht="14.25" customHeight="1" x14ac:dyDescent="0.2">
      <c r="A484" s="5"/>
    </row>
    <row r="485" spans="1:1" ht="14.25" customHeight="1" x14ac:dyDescent="0.2">
      <c r="A485" s="5"/>
    </row>
    <row r="486" spans="1:1" ht="14.25" customHeight="1" x14ac:dyDescent="0.2">
      <c r="A486" s="5"/>
    </row>
    <row r="487" spans="1:1" ht="14.25" customHeight="1" x14ac:dyDescent="0.2">
      <c r="A487" s="5"/>
    </row>
    <row r="488" spans="1:1" ht="14.25" customHeight="1" x14ac:dyDescent="0.2">
      <c r="A488" s="5"/>
    </row>
    <row r="489" spans="1:1" ht="14.25" customHeight="1" x14ac:dyDescent="0.2">
      <c r="A489" s="5"/>
    </row>
    <row r="490" spans="1:1" ht="14.25" customHeight="1" x14ac:dyDescent="0.2">
      <c r="A490" s="5"/>
    </row>
    <row r="491" spans="1:1" ht="14.25" customHeight="1" x14ac:dyDescent="0.2">
      <c r="A491" s="5"/>
    </row>
    <row r="492" spans="1:1" ht="14.25" customHeight="1" x14ac:dyDescent="0.2">
      <c r="A492" s="5"/>
    </row>
    <row r="493" spans="1:1" ht="14.25" customHeight="1" x14ac:dyDescent="0.2">
      <c r="A493" s="5"/>
    </row>
    <row r="494" spans="1:1" ht="14.25" customHeight="1" x14ac:dyDescent="0.2">
      <c r="A494" s="5"/>
    </row>
    <row r="495" spans="1:1" ht="14.25" customHeight="1" x14ac:dyDescent="0.2">
      <c r="A495" s="5"/>
    </row>
    <row r="496" spans="1:1" ht="14.25" customHeight="1" x14ac:dyDescent="0.2">
      <c r="A496" s="5"/>
    </row>
    <row r="497" spans="1:1" ht="14.25" customHeight="1" x14ac:dyDescent="0.2">
      <c r="A497" s="5"/>
    </row>
    <row r="498" spans="1:1" ht="14.25" customHeight="1" x14ac:dyDescent="0.2">
      <c r="A498" s="5"/>
    </row>
    <row r="499" spans="1:1" ht="14.25" customHeight="1" x14ac:dyDescent="0.2">
      <c r="A499" s="5"/>
    </row>
    <row r="500" spans="1:1" ht="14.25" customHeight="1" x14ac:dyDescent="0.2">
      <c r="A500" s="5"/>
    </row>
    <row r="501" spans="1:1" ht="14.25" customHeight="1" x14ac:dyDescent="0.2">
      <c r="A501" s="5"/>
    </row>
    <row r="502" spans="1:1" ht="14.25" customHeight="1" x14ac:dyDescent="0.2">
      <c r="A502" s="5"/>
    </row>
    <row r="503" spans="1:1" ht="14.25" customHeight="1" x14ac:dyDescent="0.2">
      <c r="A503" s="5"/>
    </row>
    <row r="504" spans="1:1" ht="14.25" customHeight="1" x14ac:dyDescent="0.2">
      <c r="A504" s="5"/>
    </row>
    <row r="505" spans="1:1" ht="14.25" customHeight="1" x14ac:dyDescent="0.2">
      <c r="A505" s="5"/>
    </row>
    <row r="506" spans="1:1" ht="14.25" customHeight="1" x14ac:dyDescent="0.2">
      <c r="A506" s="5"/>
    </row>
    <row r="507" spans="1:1" ht="14.25" customHeight="1" x14ac:dyDescent="0.2">
      <c r="A507" s="5"/>
    </row>
    <row r="508" spans="1:1" ht="14.25" customHeight="1" x14ac:dyDescent="0.2">
      <c r="A508" s="5"/>
    </row>
    <row r="509" spans="1:1" ht="14.25" customHeight="1" x14ac:dyDescent="0.2">
      <c r="A509" s="5"/>
    </row>
    <row r="510" spans="1:1" ht="14.25" customHeight="1" x14ac:dyDescent="0.2">
      <c r="A510" s="5"/>
    </row>
    <row r="511" spans="1:1" ht="14.25" customHeight="1" x14ac:dyDescent="0.2">
      <c r="A511" s="5"/>
    </row>
    <row r="512" spans="1:1" ht="14.25" customHeight="1" x14ac:dyDescent="0.2">
      <c r="A512" s="5"/>
    </row>
    <row r="513" spans="1:1" ht="14.25" customHeight="1" x14ac:dyDescent="0.2">
      <c r="A513" s="5"/>
    </row>
    <row r="514" spans="1:1" ht="14.25" customHeight="1" x14ac:dyDescent="0.2">
      <c r="A514" s="5"/>
    </row>
    <row r="515" spans="1:1" ht="14.25" customHeight="1" x14ac:dyDescent="0.2">
      <c r="A515" s="5"/>
    </row>
    <row r="516" spans="1:1" ht="14.25" customHeight="1" x14ac:dyDescent="0.2">
      <c r="A516" s="5"/>
    </row>
    <row r="517" spans="1:1" ht="14.25" customHeight="1" x14ac:dyDescent="0.2">
      <c r="A517" s="5"/>
    </row>
    <row r="518" spans="1:1" ht="14.25" customHeight="1" x14ac:dyDescent="0.2">
      <c r="A518" s="5"/>
    </row>
    <row r="519" spans="1:1" ht="14.25" customHeight="1" x14ac:dyDescent="0.2">
      <c r="A519" s="5"/>
    </row>
    <row r="520" spans="1:1" ht="14.25" customHeight="1" x14ac:dyDescent="0.2">
      <c r="A520" s="5"/>
    </row>
    <row r="521" spans="1:1" ht="14.25" customHeight="1" x14ac:dyDescent="0.2">
      <c r="A521" s="5"/>
    </row>
    <row r="522" spans="1:1" ht="14.25" customHeight="1" x14ac:dyDescent="0.2">
      <c r="A522" s="5"/>
    </row>
    <row r="523" spans="1:1" ht="14.25" customHeight="1" x14ac:dyDescent="0.2">
      <c r="A523" s="5"/>
    </row>
    <row r="524" spans="1:1" ht="14.25" customHeight="1" x14ac:dyDescent="0.2">
      <c r="A524" s="5"/>
    </row>
    <row r="525" spans="1:1" ht="14.25" customHeight="1" x14ac:dyDescent="0.2">
      <c r="A525" s="5"/>
    </row>
    <row r="526" spans="1:1" ht="14.25" customHeight="1" x14ac:dyDescent="0.2">
      <c r="A526" s="5"/>
    </row>
    <row r="527" spans="1:1" ht="14.25" customHeight="1" x14ac:dyDescent="0.2">
      <c r="A527" s="5"/>
    </row>
    <row r="528" spans="1:1" ht="14.25" customHeight="1" x14ac:dyDescent="0.2">
      <c r="A528" s="5"/>
    </row>
    <row r="529" spans="1:1" ht="14.25" customHeight="1" x14ac:dyDescent="0.2">
      <c r="A529" s="5"/>
    </row>
    <row r="530" spans="1:1" ht="14.25" customHeight="1" x14ac:dyDescent="0.2">
      <c r="A530" s="5"/>
    </row>
    <row r="531" spans="1:1" ht="14.25" customHeight="1" x14ac:dyDescent="0.2">
      <c r="A531" s="5"/>
    </row>
    <row r="532" spans="1:1" ht="14.25" customHeight="1" x14ac:dyDescent="0.2">
      <c r="A532" s="5"/>
    </row>
    <row r="533" spans="1:1" ht="14.25" customHeight="1" x14ac:dyDescent="0.2">
      <c r="A533" s="5"/>
    </row>
    <row r="534" spans="1:1" ht="14.25" customHeight="1" x14ac:dyDescent="0.2">
      <c r="A534" s="5"/>
    </row>
    <row r="535" spans="1:1" ht="14.25" customHeight="1" x14ac:dyDescent="0.2">
      <c r="A535" s="5"/>
    </row>
    <row r="536" spans="1:1" ht="14.25" customHeight="1" x14ac:dyDescent="0.2">
      <c r="A536" s="5"/>
    </row>
    <row r="537" spans="1:1" ht="14.25" customHeight="1" x14ac:dyDescent="0.2">
      <c r="A537" s="5"/>
    </row>
    <row r="538" spans="1:1" ht="14.25" customHeight="1" x14ac:dyDescent="0.2">
      <c r="A538" s="5"/>
    </row>
    <row r="539" spans="1:1" ht="14.25" customHeight="1" x14ac:dyDescent="0.2">
      <c r="A539" s="5"/>
    </row>
    <row r="540" spans="1:1" ht="14.25" customHeight="1" x14ac:dyDescent="0.2">
      <c r="A540" s="5"/>
    </row>
    <row r="541" spans="1:1" ht="14.25" customHeight="1" x14ac:dyDescent="0.2">
      <c r="A541" s="5"/>
    </row>
    <row r="542" spans="1:1" ht="14.25" customHeight="1" x14ac:dyDescent="0.2">
      <c r="A542" s="5"/>
    </row>
    <row r="543" spans="1:1" ht="14.25" customHeight="1" x14ac:dyDescent="0.2">
      <c r="A543" s="5"/>
    </row>
    <row r="544" spans="1:1" ht="14.25" customHeight="1" x14ac:dyDescent="0.2">
      <c r="A544" s="5"/>
    </row>
    <row r="545" spans="1:1" ht="14.25" customHeight="1" x14ac:dyDescent="0.2">
      <c r="A545" s="5"/>
    </row>
    <row r="546" spans="1:1" ht="14.25" customHeight="1" x14ac:dyDescent="0.2">
      <c r="A546" s="5"/>
    </row>
    <row r="547" spans="1:1" ht="14.25" customHeight="1" x14ac:dyDescent="0.2">
      <c r="A547" s="5"/>
    </row>
    <row r="548" spans="1:1" ht="14.25" customHeight="1" x14ac:dyDescent="0.2">
      <c r="A548" s="5"/>
    </row>
    <row r="549" spans="1:1" ht="14.25" customHeight="1" x14ac:dyDescent="0.2">
      <c r="A549" s="5"/>
    </row>
    <row r="550" spans="1:1" ht="14.25" customHeight="1" x14ac:dyDescent="0.2">
      <c r="A550" s="5"/>
    </row>
    <row r="551" spans="1:1" ht="14.25" customHeight="1" x14ac:dyDescent="0.2">
      <c r="A551" s="5"/>
    </row>
    <row r="552" spans="1:1" ht="14.25" customHeight="1" x14ac:dyDescent="0.2">
      <c r="A552" s="5"/>
    </row>
    <row r="553" spans="1:1" ht="14.25" customHeight="1" x14ac:dyDescent="0.2">
      <c r="A553" s="5"/>
    </row>
    <row r="554" spans="1:1" ht="14.25" customHeight="1" x14ac:dyDescent="0.2">
      <c r="A554" s="5"/>
    </row>
    <row r="555" spans="1:1" ht="14.25" customHeight="1" x14ac:dyDescent="0.2">
      <c r="A555" s="5"/>
    </row>
    <row r="556" spans="1:1" ht="14.25" customHeight="1" x14ac:dyDescent="0.2">
      <c r="A556" s="5"/>
    </row>
    <row r="557" spans="1:1" ht="14.25" customHeight="1" x14ac:dyDescent="0.2">
      <c r="A557" s="5"/>
    </row>
    <row r="558" spans="1:1" ht="14.25" customHeight="1" x14ac:dyDescent="0.2">
      <c r="A558" s="5"/>
    </row>
    <row r="559" spans="1:1" ht="14.25" customHeight="1" x14ac:dyDescent="0.2">
      <c r="A559" s="5"/>
    </row>
    <row r="560" spans="1:1" ht="14.25" customHeight="1" x14ac:dyDescent="0.2">
      <c r="A560" s="5"/>
    </row>
    <row r="561" spans="1:1" ht="14.25" customHeight="1" x14ac:dyDescent="0.2">
      <c r="A561" s="5"/>
    </row>
    <row r="562" spans="1:1" ht="14.25" customHeight="1" x14ac:dyDescent="0.2">
      <c r="A562" s="5"/>
    </row>
    <row r="563" spans="1:1" ht="14.25" customHeight="1" x14ac:dyDescent="0.2">
      <c r="A563" s="5"/>
    </row>
    <row r="564" spans="1:1" ht="14.25" customHeight="1" x14ac:dyDescent="0.2">
      <c r="A564" s="5"/>
    </row>
    <row r="565" spans="1:1" ht="14.25" customHeight="1" x14ac:dyDescent="0.2">
      <c r="A565" s="5"/>
    </row>
    <row r="566" spans="1:1" ht="14.25" customHeight="1" x14ac:dyDescent="0.2">
      <c r="A566" s="5"/>
    </row>
    <row r="567" spans="1:1" ht="14.25" customHeight="1" x14ac:dyDescent="0.2">
      <c r="A567" s="5"/>
    </row>
    <row r="568" spans="1:1" ht="14.25" customHeight="1" x14ac:dyDescent="0.2">
      <c r="A568" s="5"/>
    </row>
    <row r="569" spans="1:1" ht="14.25" customHeight="1" x14ac:dyDescent="0.2">
      <c r="A569" s="5"/>
    </row>
    <row r="570" spans="1:1" ht="14.25" customHeight="1" x14ac:dyDescent="0.2">
      <c r="A570" s="5"/>
    </row>
    <row r="571" spans="1:1" ht="14.25" customHeight="1" x14ac:dyDescent="0.2">
      <c r="A571" s="5"/>
    </row>
    <row r="572" spans="1:1" ht="14.25" customHeight="1" x14ac:dyDescent="0.2">
      <c r="A572" s="5"/>
    </row>
    <row r="573" spans="1:1" ht="14.25" customHeight="1" x14ac:dyDescent="0.2">
      <c r="A573" s="5"/>
    </row>
    <row r="574" spans="1:1" ht="14.25" customHeight="1" x14ac:dyDescent="0.2">
      <c r="A574" s="5"/>
    </row>
    <row r="575" spans="1:1" ht="14.25" customHeight="1" x14ac:dyDescent="0.2">
      <c r="A575" s="5"/>
    </row>
    <row r="576" spans="1:1" ht="14.25" customHeight="1" x14ac:dyDescent="0.2">
      <c r="A576" s="5"/>
    </row>
    <row r="577" spans="1:1" ht="14.25" customHeight="1" x14ac:dyDescent="0.2">
      <c r="A577" s="5"/>
    </row>
    <row r="578" spans="1:1" ht="14.25" customHeight="1" x14ac:dyDescent="0.2">
      <c r="A578" s="5"/>
    </row>
    <row r="579" spans="1:1" ht="14.25" customHeight="1" x14ac:dyDescent="0.2">
      <c r="A579" s="5"/>
    </row>
    <row r="580" spans="1:1" ht="14.25" customHeight="1" x14ac:dyDescent="0.2">
      <c r="A580" s="5"/>
    </row>
    <row r="581" spans="1:1" ht="14.25" customHeight="1" x14ac:dyDescent="0.2">
      <c r="A581" s="5"/>
    </row>
    <row r="582" spans="1:1" ht="14.25" customHeight="1" x14ac:dyDescent="0.2">
      <c r="A582" s="5"/>
    </row>
    <row r="583" spans="1:1" ht="14.25" customHeight="1" x14ac:dyDescent="0.2">
      <c r="A583" s="5"/>
    </row>
    <row r="584" spans="1:1" ht="14.25" customHeight="1" x14ac:dyDescent="0.2">
      <c r="A584" s="5"/>
    </row>
    <row r="585" spans="1:1" ht="14.25" customHeight="1" x14ac:dyDescent="0.2">
      <c r="A585" s="5"/>
    </row>
    <row r="586" spans="1:1" ht="14.25" customHeight="1" x14ac:dyDescent="0.2">
      <c r="A586" s="5"/>
    </row>
    <row r="587" spans="1:1" ht="14.25" customHeight="1" x14ac:dyDescent="0.2">
      <c r="A587" s="5"/>
    </row>
    <row r="588" spans="1:1" ht="14.25" customHeight="1" x14ac:dyDescent="0.2">
      <c r="A588" s="5"/>
    </row>
    <row r="589" spans="1:1" ht="14.25" customHeight="1" x14ac:dyDescent="0.2">
      <c r="A589" s="5"/>
    </row>
    <row r="590" spans="1:1" ht="14.25" customHeight="1" x14ac:dyDescent="0.2">
      <c r="A590" s="5"/>
    </row>
    <row r="591" spans="1:1" ht="14.25" customHeight="1" x14ac:dyDescent="0.2">
      <c r="A591" s="5"/>
    </row>
    <row r="592" spans="1:1" ht="14.25" customHeight="1" x14ac:dyDescent="0.2">
      <c r="A592" s="5"/>
    </row>
    <row r="593" spans="1:1" ht="14.25" customHeight="1" x14ac:dyDescent="0.2">
      <c r="A593" s="5"/>
    </row>
    <row r="594" spans="1:1" ht="14.25" customHeight="1" x14ac:dyDescent="0.2">
      <c r="A594" s="5"/>
    </row>
    <row r="595" spans="1:1" ht="14.25" customHeight="1" x14ac:dyDescent="0.2">
      <c r="A595" s="5"/>
    </row>
    <row r="596" spans="1:1" ht="14.25" customHeight="1" x14ac:dyDescent="0.2">
      <c r="A596" s="5"/>
    </row>
    <row r="597" spans="1:1" ht="14.25" customHeight="1" x14ac:dyDescent="0.2">
      <c r="A597" s="5"/>
    </row>
    <row r="598" spans="1:1" ht="14.25" customHeight="1" x14ac:dyDescent="0.2">
      <c r="A598" s="5"/>
    </row>
    <row r="599" spans="1:1" ht="14.25" customHeight="1" x14ac:dyDescent="0.2">
      <c r="A599" s="5"/>
    </row>
    <row r="600" spans="1:1" ht="14.25" customHeight="1" x14ac:dyDescent="0.2">
      <c r="A600" s="5"/>
    </row>
    <row r="601" spans="1:1" ht="14.25" customHeight="1" x14ac:dyDescent="0.2">
      <c r="A601" s="5"/>
    </row>
    <row r="602" spans="1:1" ht="14.25" customHeight="1" x14ac:dyDescent="0.2">
      <c r="A602" s="5"/>
    </row>
    <row r="603" spans="1:1" ht="14.25" customHeight="1" x14ac:dyDescent="0.2">
      <c r="A603" s="5"/>
    </row>
    <row r="604" spans="1:1" ht="14.25" customHeight="1" x14ac:dyDescent="0.2">
      <c r="A604" s="5"/>
    </row>
    <row r="605" spans="1:1" ht="14.25" customHeight="1" x14ac:dyDescent="0.2">
      <c r="A605" s="5"/>
    </row>
    <row r="606" spans="1:1" ht="14.25" customHeight="1" x14ac:dyDescent="0.2">
      <c r="A606" s="5"/>
    </row>
    <row r="607" spans="1:1" ht="14.25" customHeight="1" x14ac:dyDescent="0.2">
      <c r="A607" s="5"/>
    </row>
    <row r="608" spans="1:1" ht="14.25" customHeight="1" x14ac:dyDescent="0.2">
      <c r="A608" s="5"/>
    </row>
    <row r="609" spans="1:1" ht="14.25" customHeight="1" x14ac:dyDescent="0.2">
      <c r="A609" s="5"/>
    </row>
    <row r="610" spans="1:1" ht="14.25" customHeight="1" x14ac:dyDescent="0.2">
      <c r="A610" s="5"/>
    </row>
    <row r="611" spans="1:1" ht="14.25" customHeight="1" x14ac:dyDescent="0.2">
      <c r="A611" s="5"/>
    </row>
    <row r="612" spans="1:1" ht="14.25" customHeight="1" x14ac:dyDescent="0.2">
      <c r="A612" s="5"/>
    </row>
    <row r="613" spans="1:1" ht="14.25" customHeight="1" x14ac:dyDescent="0.2">
      <c r="A613" s="5"/>
    </row>
    <row r="614" spans="1:1" ht="14.25" customHeight="1" x14ac:dyDescent="0.2">
      <c r="A614" s="5"/>
    </row>
    <row r="615" spans="1:1" ht="14.25" customHeight="1" x14ac:dyDescent="0.2">
      <c r="A615" s="5"/>
    </row>
    <row r="616" spans="1:1" ht="14.25" customHeight="1" x14ac:dyDescent="0.2">
      <c r="A616" s="5"/>
    </row>
    <row r="617" spans="1:1" ht="14.25" customHeight="1" x14ac:dyDescent="0.2">
      <c r="A617" s="5"/>
    </row>
    <row r="618" spans="1:1" ht="14.25" customHeight="1" x14ac:dyDescent="0.2">
      <c r="A618" s="5"/>
    </row>
    <row r="619" spans="1:1" ht="14.25" customHeight="1" x14ac:dyDescent="0.2">
      <c r="A619" s="5"/>
    </row>
    <row r="620" spans="1:1" ht="14.25" customHeight="1" x14ac:dyDescent="0.2">
      <c r="A620" s="5"/>
    </row>
  </sheetData>
  <protectedRanges>
    <protectedRange sqref="F75" name="Intervalo1_4_1_3_1"/>
  </protectedRanges>
  <mergeCells count="340">
    <mergeCell ref="AH10:AH11"/>
    <mergeCell ref="AH9:AJ9"/>
    <mergeCell ref="BD8:BL8"/>
    <mergeCell ref="BD9:BD10"/>
    <mergeCell ref="AW9:AY9"/>
    <mergeCell ref="AZ10:AZ11"/>
    <mergeCell ref="BA10:BA11"/>
    <mergeCell ref="V10:V11"/>
    <mergeCell ref="W10:W11"/>
    <mergeCell ref="Z10:Z11"/>
    <mergeCell ref="BE9:BE10"/>
    <mergeCell ref="AZ9:BB9"/>
    <mergeCell ref="AT10:AT11"/>
    <mergeCell ref="AU10:AU11"/>
    <mergeCell ref="AN10:AN11"/>
    <mergeCell ref="AO10:AO11"/>
    <mergeCell ref="AQ10:AQ11"/>
    <mergeCell ref="AX10:AX11"/>
    <mergeCell ref="AW10:AW11"/>
    <mergeCell ref="AT9:AV9"/>
    <mergeCell ref="AQ9:AS9"/>
    <mergeCell ref="AR10:AR11"/>
    <mergeCell ref="B9:B11"/>
    <mergeCell ref="D9:D11"/>
    <mergeCell ref="E9:E11"/>
    <mergeCell ref="G9:I10"/>
    <mergeCell ref="C9:C11"/>
    <mergeCell ref="M10:M11"/>
    <mergeCell ref="AB10:AB11"/>
    <mergeCell ref="M9:O9"/>
    <mergeCell ref="S9:U9"/>
    <mergeCell ref="N10:N11"/>
    <mergeCell ref="P10:P11"/>
    <mergeCell ref="S10:S11"/>
    <mergeCell ref="T10:T11"/>
    <mergeCell ref="Y9:AA9"/>
    <mergeCell ref="Q10:Q11"/>
    <mergeCell ref="P9:R9"/>
    <mergeCell ref="V9:X9"/>
    <mergeCell ref="AB9:AD9"/>
    <mergeCell ref="Y10:Y11"/>
    <mergeCell ref="H42:J42"/>
    <mergeCell ref="H50:J50"/>
    <mergeCell ref="M33:N33"/>
    <mergeCell ref="H86:J86"/>
    <mergeCell ref="H139:J139"/>
    <mergeCell ref="H128:J128"/>
    <mergeCell ref="E4:G4"/>
    <mergeCell ref="F9:F11"/>
    <mergeCell ref="E5:K7"/>
    <mergeCell ref="H33:J33"/>
    <mergeCell ref="G8:H8"/>
    <mergeCell ref="J9:K10"/>
    <mergeCell ref="M20:N20"/>
    <mergeCell ref="M42:N42"/>
    <mergeCell ref="M65:N65"/>
    <mergeCell ref="H147:J147"/>
    <mergeCell ref="H143:J143"/>
    <mergeCell ref="H146:J146"/>
    <mergeCell ref="H119:J119"/>
    <mergeCell ref="H108:J108"/>
    <mergeCell ref="H111:J111"/>
    <mergeCell ref="M50:N50"/>
    <mergeCell ref="H94:J94"/>
    <mergeCell ref="H104:J104"/>
    <mergeCell ref="M76:N76"/>
    <mergeCell ref="M111:N111"/>
    <mergeCell ref="M147:N147"/>
    <mergeCell ref="H76:J76"/>
    <mergeCell ref="H57:J57"/>
    <mergeCell ref="H65:J65"/>
    <mergeCell ref="H60:J60"/>
    <mergeCell ref="M146:N146"/>
    <mergeCell ref="M139:N139"/>
    <mergeCell ref="M128:N128"/>
    <mergeCell ref="M108:N108"/>
    <mergeCell ref="M104:N104"/>
    <mergeCell ref="M119:N119"/>
    <mergeCell ref="M143:N143"/>
    <mergeCell ref="AZ33:BA33"/>
    <mergeCell ref="AZ20:BA20"/>
    <mergeCell ref="AE9:AG9"/>
    <mergeCell ref="AC10:AC11"/>
    <mergeCell ref="AE10:AE11"/>
    <mergeCell ref="AF10:AF11"/>
    <mergeCell ref="AK9:AM9"/>
    <mergeCell ref="AZ42:BA42"/>
    <mergeCell ref="AB33:AC33"/>
    <mergeCell ref="AB42:AC42"/>
    <mergeCell ref="AE42:AF42"/>
    <mergeCell ref="AH33:AI33"/>
    <mergeCell ref="AE33:AF33"/>
    <mergeCell ref="AK33:AL33"/>
    <mergeCell ref="AN33:AO33"/>
    <mergeCell ref="AN42:AO42"/>
    <mergeCell ref="AT33:AU33"/>
    <mergeCell ref="AK42:AL42"/>
    <mergeCell ref="AT42:AU42"/>
    <mergeCell ref="AW42:AX42"/>
    <mergeCell ref="AL10:AL11"/>
    <mergeCell ref="AI10:AI11"/>
    <mergeCell ref="AK10:AK11"/>
    <mergeCell ref="AN9:AP9"/>
    <mergeCell ref="P20:Q20"/>
    <mergeCell ref="AQ33:AR33"/>
    <mergeCell ref="AW33:AX33"/>
    <mergeCell ref="AQ20:AR20"/>
    <mergeCell ref="AT20:AU20"/>
    <mergeCell ref="AW20:AX20"/>
    <mergeCell ref="Y33:Z33"/>
    <mergeCell ref="AH20:AI20"/>
    <mergeCell ref="AN20:AO20"/>
    <mergeCell ref="AK20:AL20"/>
    <mergeCell ref="S20:T20"/>
    <mergeCell ref="V20:W20"/>
    <mergeCell ref="Y20:Z20"/>
    <mergeCell ref="AB20:AC20"/>
    <mergeCell ref="AE20:AF20"/>
    <mergeCell ref="AQ42:AR42"/>
    <mergeCell ref="Y42:Z42"/>
    <mergeCell ref="AB50:AC50"/>
    <mergeCell ref="AH42:AI42"/>
    <mergeCell ref="AH50:AI50"/>
    <mergeCell ref="P42:Q42"/>
    <mergeCell ref="S42:T42"/>
    <mergeCell ref="V42:W42"/>
    <mergeCell ref="P33:Q33"/>
    <mergeCell ref="S33:T33"/>
    <mergeCell ref="V33:W33"/>
    <mergeCell ref="AZ50:BA50"/>
    <mergeCell ref="M57:N57"/>
    <mergeCell ref="P57:Q57"/>
    <mergeCell ref="S57:T57"/>
    <mergeCell ref="V57:W57"/>
    <mergeCell ref="Y57:Z57"/>
    <mergeCell ref="AW57:AX57"/>
    <mergeCell ref="AZ57:BA57"/>
    <mergeCell ref="P50:Q50"/>
    <mergeCell ref="S50:T50"/>
    <mergeCell ref="V50:W50"/>
    <mergeCell ref="Y50:Z50"/>
    <mergeCell ref="AW50:AX50"/>
    <mergeCell ref="AK50:AL50"/>
    <mergeCell ref="AE50:AF50"/>
    <mergeCell ref="AE57:AF57"/>
    <mergeCell ref="AQ50:AR50"/>
    <mergeCell ref="AT50:AU50"/>
    <mergeCell ref="AN50:AO50"/>
    <mergeCell ref="AH57:AI57"/>
    <mergeCell ref="AZ76:BA76"/>
    <mergeCell ref="P65:Q65"/>
    <mergeCell ref="S65:T65"/>
    <mergeCell ref="AW65:AX65"/>
    <mergeCell ref="Y65:Z65"/>
    <mergeCell ref="AZ65:BA65"/>
    <mergeCell ref="AW76:AX76"/>
    <mergeCell ref="AN76:AO76"/>
    <mergeCell ref="AB76:AC76"/>
    <mergeCell ref="P76:Q76"/>
    <mergeCell ref="S76:T76"/>
    <mergeCell ref="V76:W76"/>
    <mergeCell ref="AT65:AU65"/>
    <mergeCell ref="AQ65:AR65"/>
    <mergeCell ref="AT76:AU76"/>
    <mergeCell ref="AE76:AF76"/>
    <mergeCell ref="AE65:AF65"/>
    <mergeCell ref="AZ86:BA86"/>
    <mergeCell ref="M94:N94"/>
    <mergeCell ref="P94:Q94"/>
    <mergeCell ref="S94:T94"/>
    <mergeCell ref="V94:W94"/>
    <mergeCell ref="Y94:Z94"/>
    <mergeCell ref="AW94:AX94"/>
    <mergeCell ref="AK86:AL86"/>
    <mergeCell ref="AQ86:AR86"/>
    <mergeCell ref="AH94:AI94"/>
    <mergeCell ref="AQ94:AR94"/>
    <mergeCell ref="AN94:AO94"/>
    <mergeCell ref="M86:N86"/>
    <mergeCell ref="P86:Q86"/>
    <mergeCell ref="AE94:AF94"/>
    <mergeCell ref="AK94:AL94"/>
    <mergeCell ref="AB86:AC86"/>
    <mergeCell ref="Y86:Z86"/>
    <mergeCell ref="AW86:AX86"/>
    <mergeCell ref="AE86:AF86"/>
    <mergeCell ref="AN86:AO86"/>
    <mergeCell ref="AZ94:BA94"/>
    <mergeCell ref="AH86:AI86"/>
    <mergeCell ref="AZ104:BA104"/>
    <mergeCell ref="AE104:AF104"/>
    <mergeCell ref="AZ108:BA108"/>
    <mergeCell ref="AE108:AF108"/>
    <mergeCell ref="Y108:Z108"/>
    <mergeCell ref="AZ128:BA128"/>
    <mergeCell ref="AW128:AX128"/>
    <mergeCell ref="AW104:AX104"/>
    <mergeCell ref="AB104:AC104"/>
    <mergeCell ref="AZ119:BA119"/>
    <mergeCell ref="AZ111:BA111"/>
    <mergeCell ref="AW111:AX111"/>
    <mergeCell ref="AH111:AI111"/>
    <mergeCell ref="AH108:AI108"/>
    <mergeCell ref="AH104:AI104"/>
    <mergeCell ref="AW108:AX108"/>
    <mergeCell ref="AN108:AO108"/>
    <mergeCell ref="P119:Q119"/>
    <mergeCell ref="S119:T119"/>
    <mergeCell ref="AN143:AO143"/>
    <mergeCell ref="AE128:AF128"/>
    <mergeCell ref="AH128:AI128"/>
    <mergeCell ref="AK143:AL143"/>
    <mergeCell ref="AK128:AL128"/>
    <mergeCell ref="AE139:AF139"/>
    <mergeCell ref="AN128:AO128"/>
    <mergeCell ref="AH139:AI139"/>
    <mergeCell ref="AN139:AO139"/>
    <mergeCell ref="Y128:Z128"/>
    <mergeCell ref="V119:W119"/>
    <mergeCell ref="P128:Q128"/>
    <mergeCell ref="S139:T139"/>
    <mergeCell ref="AB139:AC139"/>
    <mergeCell ref="V143:W143"/>
    <mergeCell ref="AE119:AF119"/>
    <mergeCell ref="Y119:Z119"/>
    <mergeCell ref="AE143:AF143"/>
    <mergeCell ref="V139:W139"/>
    <mergeCell ref="Y139:Z139"/>
    <mergeCell ref="P111:Q111"/>
    <mergeCell ref="Y111:Z111"/>
    <mergeCell ref="S111:T111"/>
    <mergeCell ref="V111:W111"/>
    <mergeCell ref="AE111:AF111"/>
    <mergeCell ref="V104:W104"/>
    <mergeCell ref="V108:W108"/>
    <mergeCell ref="P108:Q108"/>
    <mergeCell ref="S108:T108"/>
    <mergeCell ref="P104:Q104"/>
    <mergeCell ref="A9:A11"/>
    <mergeCell ref="M60:N60"/>
    <mergeCell ref="AW146:AX146"/>
    <mergeCell ref="P143:Q143"/>
    <mergeCell ref="S143:T143"/>
    <mergeCell ref="P146:Q146"/>
    <mergeCell ref="S146:T146"/>
    <mergeCell ref="V146:W146"/>
    <mergeCell ref="AQ146:AR146"/>
    <mergeCell ref="AH143:AI143"/>
    <mergeCell ref="AH146:AI146"/>
    <mergeCell ref="AN146:AO146"/>
    <mergeCell ref="Y146:Z146"/>
    <mergeCell ref="AW143:AX143"/>
    <mergeCell ref="AQ143:AR143"/>
    <mergeCell ref="AT143:AU143"/>
    <mergeCell ref="AK146:AL146"/>
    <mergeCell ref="AH119:AI119"/>
    <mergeCell ref="AK139:AL139"/>
    <mergeCell ref="AT139:AU139"/>
    <mergeCell ref="AW119:AX119"/>
    <mergeCell ref="AH65:AI65"/>
    <mergeCell ref="AH76:AI76"/>
    <mergeCell ref="AN65:AO65"/>
    <mergeCell ref="P147:Q147"/>
    <mergeCell ref="S147:T147"/>
    <mergeCell ref="V147:W147"/>
    <mergeCell ref="AB57:AC57"/>
    <mergeCell ref="AB119:AC119"/>
    <mergeCell ref="AB128:AC128"/>
    <mergeCell ref="AB94:AC94"/>
    <mergeCell ref="AB108:AC108"/>
    <mergeCell ref="AB111:AC111"/>
    <mergeCell ref="Y143:Z143"/>
    <mergeCell ref="Y60:Z60"/>
    <mergeCell ref="P139:Q139"/>
    <mergeCell ref="AB65:AC65"/>
    <mergeCell ref="Y76:Z76"/>
    <mergeCell ref="S128:T128"/>
    <mergeCell ref="V128:W128"/>
    <mergeCell ref="Y104:Z104"/>
    <mergeCell ref="P60:Q60"/>
    <mergeCell ref="S60:T60"/>
    <mergeCell ref="V60:W60"/>
    <mergeCell ref="S104:T104"/>
    <mergeCell ref="S86:T86"/>
    <mergeCell ref="V86:W86"/>
    <mergeCell ref="V65:W65"/>
    <mergeCell ref="AW147:AX147"/>
    <mergeCell ref="AB147:AC147"/>
    <mergeCell ref="AE147:AF147"/>
    <mergeCell ref="AH147:AI147"/>
    <mergeCell ref="AK147:AL147"/>
    <mergeCell ref="AQ147:AR147"/>
    <mergeCell ref="AZ147:BA147"/>
    <mergeCell ref="Y147:Z147"/>
    <mergeCell ref="AZ146:BA146"/>
    <mergeCell ref="AT147:AU147"/>
    <mergeCell ref="AT146:AU146"/>
    <mergeCell ref="AZ143:BA143"/>
    <mergeCell ref="AB146:AC146"/>
    <mergeCell ref="AE146:AF146"/>
    <mergeCell ref="AN147:AO147"/>
    <mergeCell ref="AB143:AC143"/>
    <mergeCell ref="AZ60:BA60"/>
    <mergeCell ref="AB60:AC60"/>
    <mergeCell ref="AE60:AF60"/>
    <mergeCell ref="AK60:AL60"/>
    <mergeCell ref="AH60:AI60"/>
    <mergeCell ref="AW60:AX60"/>
    <mergeCell ref="AQ119:AR119"/>
    <mergeCell ref="AQ104:AR104"/>
    <mergeCell ref="AQ108:AR108"/>
    <mergeCell ref="AQ111:AR111"/>
    <mergeCell ref="AK108:AL108"/>
    <mergeCell ref="AK104:AL104"/>
    <mergeCell ref="AK111:AL111"/>
    <mergeCell ref="AN119:AO119"/>
    <mergeCell ref="AN104:AO104"/>
    <mergeCell ref="AN111:AO111"/>
    <mergeCell ref="AZ139:BA139"/>
    <mergeCell ref="AW139:AX139"/>
    <mergeCell ref="AT128:AU128"/>
    <mergeCell ref="AQ139:AR139"/>
    <mergeCell ref="AT104:AU104"/>
    <mergeCell ref="AT108:AU108"/>
    <mergeCell ref="AT111:AU111"/>
    <mergeCell ref="AT119:AU119"/>
    <mergeCell ref="AQ128:AR128"/>
    <mergeCell ref="AK119:AL119"/>
    <mergeCell ref="AT60:AU60"/>
    <mergeCell ref="AN57:AO57"/>
    <mergeCell ref="AN60:AO60"/>
    <mergeCell ref="AQ57:AR57"/>
    <mergeCell ref="AQ60:AR60"/>
    <mergeCell ref="AT86:AU86"/>
    <mergeCell ref="AT94:AU94"/>
    <mergeCell ref="AQ76:AR76"/>
    <mergeCell ref="AK57:AL57"/>
    <mergeCell ref="AT57:AU57"/>
    <mergeCell ref="AK65:AL65"/>
    <mergeCell ref="AK76:AL76"/>
  </mergeCells>
  <phoneticPr fontId="14" type="noConversion"/>
  <conditionalFormatting sqref="AW34">
    <cfRule type="cellIs" dxfId="6" priority="1" stopIfTrue="1" operator="greaterThanOrEqual">
      <formula>0.8</formula>
    </cfRule>
  </conditionalFormatting>
  <conditionalFormatting sqref="AW12 AW21">
    <cfRule type="cellIs" dxfId="5" priority="2" stopIfTrue="1" operator="greaterThanOrEqual">
      <formula>0.8</formula>
    </cfRule>
  </conditionalFormatting>
  <printOptions horizontalCentered="1"/>
  <pageMargins left="0.39370078740157483" right="0.39370078740157483" top="0.59055118110236227" bottom="0.59055118110236227" header="0.39370078740157483" footer="0.39370078740157483"/>
  <pageSetup paperSize="9" scale="70" orientation="landscape" verticalDpi="300" r:id="rId1"/>
  <headerFooter alignWithMargins="0">
    <oddHeader>Página &amp;P de &amp;N</oddHeader>
    <oddFooter>&amp;C&amp;F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2:AC36"/>
  <sheetViews>
    <sheetView view="pageBreakPreview" zoomScale="75" zoomScaleNormal="75" zoomScaleSheetLayoutView="75" workbookViewId="0">
      <selection activeCell="M31" sqref="M31"/>
    </sheetView>
  </sheetViews>
  <sheetFormatPr defaultRowHeight="12.75" x14ac:dyDescent="0.2"/>
  <cols>
    <col min="1" max="1" width="6.7109375" customWidth="1"/>
    <col min="2" max="2" width="33.7109375" customWidth="1"/>
    <col min="3" max="3" width="13" customWidth="1"/>
    <col min="4" max="4" width="8.85546875" customWidth="1"/>
    <col min="5" max="5" width="11.5703125" customWidth="1"/>
    <col min="6" max="6" width="6.85546875" customWidth="1"/>
    <col min="7" max="7" width="11.7109375" bestFit="1" customWidth="1"/>
    <col min="8" max="8" width="6.85546875" customWidth="1"/>
    <col min="9" max="9" width="11.7109375" bestFit="1" customWidth="1"/>
    <col min="10" max="10" width="6.85546875" customWidth="1"/>
    <col min="11" max="11" width="11.7109375" customWidth="1"/>
    <col min="12" max="12" width="6.85546875" customWidth="1"/>
    <col min="13" max="13" width="11.7109375" bestFit="1" customWidth="1"/>
    <col min="14" max="14" width="6.85546875" customWidth="1"/>
    <col min="15" max="15" width="11.7109375" bestFit="1" customWidth="1"/>
    <col min="16" max="16" width="6.85546875" customWidth="1"/>
    <col min="17" max="17" width="11.7109375" bestFit="1" customWidth="1"/>
    <col min="18" max="18" width="6.85546875" customWidth="1"/>
    <col min="19" max="19" width="11.7109375" bestFit="1" customWidth="1"/>
    <col min="20" max="20" width="6.85546875" customWidth="1"/>
    <col min="21" max="21" width="11.7109375" bestFit="1" customWidth="1"/>
    <col min="22" max="22" width="6.85546875" customWidth="1"/>
    <col min="23" max="23" width="11.7109375" bestFit="1" customWidth="1"/>
    <col min="24" max="24" width="6.85546875" customWidth="1"/>
    <col min="25" max="25" width="11.7109375" bestFit="1" customWidth="1"/>
    <col min="26" max="26" width="6.85546875" customWidth="1"/>
    <col min="27" max="27" width="11.7109375" bestFit="1" customWidth="1"/>
    <col min="28" max="28" width="7.85546875" customWidth="1"/>
  </cols>
  <sheetData>
    <row r="2" spans="1:29" ht="23.25" x14ac:dyDescent="0.2">
      <c r="A2" s="136"/>
      <c r="C2" s="137" t="s">
        <v>56</v>
      </c>
    </row>
    <row r="3" spans="1:29" ht="23.25" x14ac:dyDescent="0.2">
      <c r="A3" s="136"/>
      <c r="C3" s="137" t="s">
        <v>481</v>
      </c>
    </row>
    <row r="4" spans="1:29" ht="23.25" x14ac:dyDescent="0.25">
      <c r="A4" s="136"/>
      <c r="C4" s="4" t="s">
        <v>2</v>
      </c>
    </row>
    <row r="5" spans="1:29" ht="23.25" x14ac:dyDescent="0.25">
      <c r="A5" s="136" t="s">
        <v>482</v>
      </c>
      <c r="B5" s="136"/>
      <c r="C5" s="136"/>
      <c r="D5" s="136"/>
      <c r="E5" s="136"/>
      <c r="F5" s="136"/>
      <c r="G5" s="136"/>
      <c r="I5" s="139"/>
    </row>
    <row r="6" spans="1:29" ht="18" x14ac:dyDescent="0.25">
      <c r="A6" s="1" t="e">
        <f>RESUMO!#REF!</f>
        <v>#REF!</v>
      </c>
      <c r="B6" s="138"/>
      <c r="C6" s="138"/>
      <c r="D6" s="138"/>
    </row>
    <row r="7" spans="1:29" ht="18" x14ac:dyDescent="0.25">
      <c r="A7" s="1" t="e">
        <f>RESUMO!#REF!</f>
        <v>#REF!</v>
      </c>
      <c r="B7" s="138"/>
      <c r="C7" s="138"/>
      <c r="D7" s="138"/>
      <c r="G7" s="139" t="s">
        <v>483</v>
      </c>
      <c r="H7" s="241">
        <v>365</v>
      </c>
      <c r="I7" s="139" t="s">
        <v>484</v>
      </c>
    </row>
    <row r="8" spans="1:29" ht="18" x14ac:dyDescent="0.25">
      <c r="A8" s="1" t="str">
        <f>RESUMO!A7</f>
        <v xml:space="preserve">RESUMO DA PLANILHA ORÇAMENTARIA </v>
      </c>
      <c r="B8" s="139"/>
      <c r="C8" s="139"/>
      <c r="D8" s="140"/>
    </row>
    <row r="9" spans="1:29" ht="18" x14ac:dyDescent="0.25">
      <c r="A9" s="1" t="s">
        <v>43</v>
      </c>
      <c r="B9" s="139"/>
      <c r="C9" s="139"/>
      <c r="D9" s="140"/>
    </row>
    <row r="10" spans="1:29" ht="18" x14ac:dyDescent="0.25">
      <c r="A10" s="2" t="e">
        <f>Reforma!E5</f>
        <v>#REF!</v>
      </c>
      <c r="B10" s="139"/>
      <c r="C10" s="139"/>
      <c r="D10" s="140"/>
    </row>
    <row r="11" spans="1:29" ht="15.75" x14ac:dyDescent="0.25">
      <c r="A11" s="5"/>
      <c r="B11" s="139"/>
      <c r="C11" s="139"/>
      <c r="D11" s="140"/>
    </row>
    <row r="12" spans="1:29" ht="13.5" thickBot="1" x14ac:dyDescent="0.25">
      <c r="A12" s="665" t="s">
        <v>482</v>
      </c>
      <c r="B12" s="669"/>
      <c r="C12" s="669"/>
      <c r="D12" s="669"/>
      <c r="E12" s="670"/>
      <c r="F12" s="670"/>
      <c r="G12" s="670"/>
      <c r="H12" s="670"/>
      <c r="I12" s="670"/>
      <c r="J12" s="670"/>
      <c r="K12" s="670"/>
      <c r="L12" s="670"/>
      <c r="M12" s="670"/>
      <c r="N12" s="670"/>
      <c r="O12" s="670"/>
      <c r="P12" s="670"/>
      <c r="Q12" s="670"/>
      <c r="R12" s="670"/>
      <c r="S12" s="670"/>
      <c r="T12" s="670"/>
      <c r="U12" s="670"/>
      <c r="V12" s="670"/>
    </row>
    <row r="13" spans="1:29" s="141" customFormat="1" ht="16.5" thickBot="1" x14ac:dyDescent="0.25">
      <c r="A13" s="680" t="s">
        <v>13</v>
      </c>
      <c r="B13" s="645" t="s">
        <v>485</v>
      </c>
      <c r="C13" s="649" t="s">
        <v>486</v>
      </c>
      <c r="D13" s="649"/>
      <c r="E13" s="671" t="s">
        <v>487</v>
      </c>
      <c r="F13" s="672"/>
      <c r="G13" s="672"/>
      <c r="H13" s="672"/>
      <c r="I13" s="672"/>
      <c r="J13" s="672"/>
      <c r="K13" s="672"/>
      <c r="L13" s="672"/>
      <c r="M13" s="672"/>
      <c r="N13" s="672"/>
      <c r="O13" s="672"/>
      <c r="P13" s="672"/>
      <c r="Q13" s="672"/>
      <c r="R13" s="672"/>
      <c r="S13" s="672"/>
      <c r="T13" s="672"/>
      <c r="U13" s="672"/>
      <c r="V13" s="672"/>
      <c r="W13" s="672"/>
      <c r="X13" s="672"/>
      <c r="Y13" s="672"/>
      <c r="Z13" s="672"/>
      <c r="AA13" s="672"/>
      <c r="AB13" s="673"/>
    </row>
    <row r="14" spans="1:29" s="141" customFormat="1" ht="16.5" thickBot="1" x14ac:dyDescent="0.25">
      <c r="A14" s="681"/>
      <c r="B14" s="646"/>
      <c r="C14" s="649"/>
      <c r="D14" s="649"/>
      <c r="E14" s="674" t="s">
        <v>488</v>
      </c>
      <c r="F14" s="674"/>
      <c r="G14" s="674" t="s">
        <v>489</v>
      </c>
      <c r="H14" s="674"/>
      <c r="I14" s="674" t="s">
        <v>490</v>
      </c>
      <c r="J14" s="674"/>
      <c r="K14" s="674" t="s">
        <v>491</v>
      </c>
      <c r="L14" s="674"/>
      <c r="M14" s="674" t="s">
        <v>492</v>
      </c>
      <c r="N14" s="674"/>
      <c r="O14" s="674" t="s">
        <v>493</v>
      </c>
      <c r="P14" s="674"/>
      <c r="Q14" s="674" t="s">
        <v>494</v>
      </c>
      <c r="R14" s="674"/>
      <c r="S14" s="674" t="s">
        <v>495</v>
      </c>
      <c r="T14" s="674"/>
      <c r="U14" s="674" t="s">
        <v>496</v>
      </c>
      <c r="V14" s="674"/>
      <c r="W14" s="674" t="s">
        <v>497</v>
      </c>
      <c r="X14" s="674"/>
      <c r="Y14" s="674" t="s">
        <v>498</v>
      </c>
      <c r="Z14" s="674"/>
      <c r="AA14" s="674" t="s">
        <v>499</v>
      </c>
      <c r="AB14" s="674"/>
    </row>
    <row r="15" spans="1:29" s="141" customFormat="1" ht="15.75" thickBot="1" x14ac:dyDescent="0.25">
      <c r="A15" s="682"/>
      <c r="B15" s="683"/>
      <c r="C15" s="142" t="s">
        <v>500</v>
      </c>
      <c r="D15" s="143" t="s">
        <v>16</v>
      </c>
      <c r="E15" s="142" t="s">
        <v>500</v>
      </c>
      <c r="F15" s="143" t="s">
        <v>16</v>
      </c>
      <c r="G15" s="144" t="s">
        <v>501</v>
      </c>
      <c r="H15" s="145" t="s">
        <v>16</v>
      </c>
      <c r="I15" s="144" t="s">
        <v>501</v>
      </c>
      <c r="J15" s="145" t="s">
        <v>16</v>
      </c>
      <c r="K15" s="144" t="s">
        <v>501</v>
      </c>
      <c r="L15" s="145" t="s">
        <v>16</v>
      </c>
      <c r="M15" s="144" t="s">
        <v>501</v>
      </c>
      <c r="N15" s="145" t="s">
        <v>16</v>
      </c>
      <c r="O15" s="144" t="s">
        <v>501</v>
      </c>
      <c r="P15" s="145" t="s">
        <v>16</v>
      </c>
      <c r="Q15" s="144" t="s">
        <v>501</v>
      </c>
      <c r="R15" s="145" t="s">
        <v>16</v>
      </c>
      <c r="S15" s="144" t="s">
        <v>501</v>
      </c>
      <c r="T15" s="145" t="s">
        <v>16</v>
      </c>
      <c r="U15" s="144" t="s">
        <v>501</v>
      </c>
      <c r="V15" s="145" t="s">
        <v>16</v>
      </c>
      <c r="W15" s="144" t="s">
        <v>501</v>
      </c>
      <c r="X15" s="145" t="s">
        <v>16</v>
      </c>
      <c r="Y15" s="144" t="s">
        <v>501</v>
      </c>
      <c r="Z15" s="145" t="s">
        <v>16</v>
      </c>
      <c r="AA15" s="144" t="s">
        <v>501</v>
      </c>
      <c r="AB15" s="145" t="s">
        <v>16</v>
      </c>
    </row>
    <row r="16" spans="1:29" s="141" customFormat="1" ht="15" x14ac:dyDescent="0.2">
      <c r="A16" s="34" t="s">
        <v>53</v>
      </c>
      <c r="B16" s="35" t="str">
        <f>Reforma!D12</f>
        <v>SERVIÇOS  PRELIMINARES</v>
      </c>
      <c r="C16" s="16">
        <f>Reforma!K20</f>
        <v>139267.27000000002</v>
      </c>
      <c r="D16" s="106">
        <f t="shared" ref="D16:D33" si="0">(C16/$C$34)</f>
        <v>0.16101203929358088</v>
      </c>
      <c r="E16" s="146">
        <f>C16*F16/100</f>
        <v>47350.871800000008</v>
      </c>
      <c r="F16" s="147">
        <v>34</v>
      </c>
      <c r="G16" s="146">
        <f>C16*H16/100</f>
        <v>8356.0362000000005</v>
      </c>
      <c r="H16" s="317">
        <v>6</v>
      </c>
      <c r="I16" s="146">
        <f>C16*J16/100</f>
        <v>8356.0362000000005</v>
      </c>
      <c r="J16" s="148">
        <v>6</v>
      </c>
      <c r="K16" s="318">
        <f>C16*L16/100</f>
        <v>8356.0362000000005</v>
      </c>
      <c r="L16" s="317">
        <v>6</v>
      </c>
      <c r="M16" s="146">
        <f>C16*N16/100</f>
        <v>8356.0362000000005</v>
      </c>
      <c r="N16" s="148">
        <v>6</v>
      </c>
      <c r="O16" s="318">
        <f>C16*P16/100</f>
        <v>8356.0362000000005</v>
      </c>
      <c r="P16" s="317">
        <v>6</v>
      </c>
      <c r="Q16" s="146">
        <f>C16*R16/100</f>
        <v>8356.0362000000005</v>
      </c>
      <c r="R16" s="148">
        <v>6</v>
      </c>
      <c r="S16" s="318">
        <f>C16*T16/100</f>
        <v>8356.0362000000005</v>
      </c>
      <c r="T16" s="317">
        <v>6</v>
      </c>
      <c r="U16" s="146">
        <f>(C16*V16)/100</f>
        <v>8356.0362000000005</v>
      </c>
      <c r="V16" s="148">
        <v>6</v>
      </c>
      <c r="W16" s="318">
        <f>(X16*C16)/100</f>
        <v>8356.0362000000005</v>
      </c>
      <c r="X16" s="317">
        <v>6</v>
      </c>
      <c r="Y16" s="146">
        <f>(Z16*C16)/100</f>
        <v>8356.0362000000005</v>
      </c>
      <c r="Z16" s="148">
        <v>6</v>
      </c>
      <c r="AA16" s="146">
        <f>(AB16*C16)/100</f>
        <v>8356.0362000000005</v>
      </c>
      <c r="AB16" s="148">
        <v>6</v>
      </c>
      <c r="AC16" s="408">
        <f>F16+H16+J16+L16+N16+P16+R16+T16+V16+X16+Z16+AB16</f>
        <v>100</v>
      </c>
    </row>
    <row r="17" spans="1:29" s="141" customFormat="1" ht="39.75" customHeight="1" x14ac:dyDescent="0.2">
      <c r="A17" s="34" t="s">
        <v>41</v>
      </c>
      <c r="B17" s="35" t="str">
        <f>Reforma!D21</f>
        <v>SERVIÇOS DE DEMOLIÇÃO E RETIRADA</v>
      </c>
      <c r="C17" s="16">
        <f>Reforma!K33</f>
        <v>40923.230000000003</v>
      </c>
      <c r="D17" s="106">
        <f t="shared" si="0"/>
        <v>4.7312859057122666E-2</v>
      </c>
      <c r="E17" s="123">
        <f t="shared" ref="E17:E33" si="1">C17*F17/100</f>
        <v>40923.230000000003</v>
      </c>
      <c r="F17" s="124">
        <v>100</v>
      </c>
      <c r="G17" s="123">
        <f>C17*H17/100</f>
        <v>0</v>
      </c>
      <c r="H17" s="125">
        <v>0</v>
      </c>
      <c r="I17" s="123">
        <f>C17*J17/100</f>
        <v>0</v>
      </c>
      <c r="J17" s="126">
        <v>0</v>
      </c>
      <c r="K17" s="127">
        <f>C17*L17/100</f>
        <v>0</v>
      </c>
      <c r="L17" s="125">
        <v>0</v>
      </c>
      <c r="M17" s="123">
        <f>C17*N17/100</f>
        <v>0</v>
      </c>
      <c r="N17" s="126">
        <v>0</v>
      </c>
      <c r="O17" s="127">
        <f>C17*P17/100</f>
        <v>0</v>
      </c>
      <c r="P17" s="125">
        <v>0</v>
      </c>
      <c r="Q17" s="123">
        <f>C17*R17/100</f>
        <v>0</v>
      </c>
      <c r="R17" s="126">
        <v>0</v>
      </c>
      <c r="S17" s="127">
        <f>C17*T17/100</f>
        <v>0</v>
      </c>
      <c r="T17" s="125">
        <v>0</v>
      </c>
      <c r="U17" s="123">
        <f>(C17*V17)/100</f>
        <v>0</v>
      </c>
      <c r="V17" s="126">
        <v>0</v>
      </c>
      <c r="W17" s="127">
        <f>(X17*C17)/100</f>
        <v>0</v>
      </c>
      <c r="X17" s="125">
        <v>0</v>
      </c>
      <c r="Y17" s="123">
        <f>(Z17*C17)/100</f>
        <v>0</v>
      </c>
      <c r="Z17" s="126">
        <v>0</v>
      </c>
      <c r="AA17" s="123">
        <f>(AB17*C17)/100</f>
        <v>0</v>
      </c>
      <c r="AB17" s="126">
        <v>0</v>
      </c>
      <c r="AC17" s="408">
        <f>F17+H17+J17+L17+N17+P17+R17+T17+V17+X17+Z17+AB17</f>
        <v>100</v>
      </c>
    </row>
    <row r="18" spans="1:29" s="141" customFormat="1" ht="15" x14ac:dyDescent="0.2">
      <c r="A18" s="34" t="s">
        <v>171</v>
      </c>
      <c r="B18" s="27" t="str">
        <f>Reforma!D34</f>
        <v>MOVIMENTO DE SOLOS</v>
      </c>
      <c r="C18" s="122">
        <f>Reforma!K42</f>
        <v>8132.6500000000005</v>
      </c>
      <c r="D18" s="106">
        <f t="shared" si="0"/>
        <v>9.402457313631124E-3</v>
      </c>
      <c r="E18" s="123">
        <f t="shared" si="1"/>
        <v>8132.65</v>
      </c>
      <c r="F18" s="124">
        <v>100</v>
      </c>
      <c r="G18" s="123">
        <f t="shared" ref="G18:G33" si="2">C18*H18/100</f>
        <v>0</v>
      </c>
      <c r="H18" s="125">
        <v>0</v>
      </c>
      <c r="I18" s="123">
        <f t="shared" ref="I18:I33" si="3">C18*J18/100</f>
        <v>0</v>
      </c>
      <c r="J18" s="126">
        <v>0</v>
      </c>
      <c r="K18" s="127">
        <f t="shared" ref="K18:K33" si="4">C18*L18/100</f>
        <v>0</v>
      </c>
      <c r="L18" s="125">
        <v>0</v>
      </c>
      <c r="M18" s="123">
        <f t="shared" ref="M18:M33" si="5">C18*N18/100</f>
        <v>0</v>
      </c>
      <c r="N18" s="126">
        <v>0</v>
      </c>
      <c r="O18" s="127">
        <f t="shared" ref="O18:O33" si="6">C18*P18/100</f>
        <v>0</v>
      </c>
      <c r="P18" s="125">
        <v>0</v>
      </c>
      <c r="Q18" s="123">
        <f t="shared" ref="Q18:Q33" si="7">C18*R18/100</f>
        <v>0</v>
      </c>
      <c r="R18" s="126">
        <v>0</v>
      </c>
      <c r="S18" s="127">
        <f t="shared" ref="S18:S33" si="8">C18*T18/100</f>
        <v>0</v>
      </c>
      <c r="T18" s="125">
        <v>0</v>
      </c>
      <c r="U18" s="123">
        <f t="shared" ref="U18:U33" si="9">(C18*V18)/100</f>
        <v>0</v>
      </c>
      <c r="V18" s="126">
        <v>0</v>
      </c>
      <c r="W18" s="127">
        <f t="shared" ref="W18:W33" si="10">(X18*C18)/100</f>
        <v>0</v>
      </c>
      <c r="X18" s="125">
        <v>0</v>
      </c>
      <c r="Y18" s="123">
        <f t="shared" ref="Y18:Y33" si="11">(Z18*C18)/100</f>
        <v>0</v>
      </c>
      <c r="Z18" s="126">
        <v>0</v>
      </c>
      <c r="AA18" s="123">
        <f t="shared" ref="AA18:AA33" si="12">(AB18*C18)/100</f>
        <v>0</v>
      </c>
      <c r="AB18" s="126">
        <v>0</v>
      </c>
      <c r="AC18" s="408">
        <f t="shared" ref="AC18:AC33" si="13">F18+H18+J18+L18+N18+P18+R18+T18+V18+X18+Z18+AB18</f>
        <v>100</v>
      </c>
    </row>
    <row r="19" spans="1:29" s="141" customFormat="1" ht="15" x14ac:dyDescent="0.2">
      <c r="A19" s="103" t="s">
        <v>199</v>
      </c>
      <c r="B19" s="27" t="str">
        <f>Reforma!D43</f>
        <v>INFRA - ESTRUTURA</v>
      </c>
      <c r="C19" s="16">
        <f>Reforma!K50</f>
        <v>58238.400000000001</v>
      </c>
      <c r="D19" s="106">
        <f t="shared" si="0"/>
        <v>6.7331567203085696E-2</v>
      </c>
      <c r="E19" s="123">
        <f t="shared" si="1"/>
        <v>29119.200000000001</v>
      </c>
      <c r="F19" s="124">
        <v>50</v>
      </c>
      <c r="G19" s="123">
        <f t="shared" si="2"/>
        <v>29119.200000000001</v>
      </c>
      <c r="H19" s="125">
        <v>50</v>
      </c>
      <c r="I19" s="123">
        <f t="shared" si="3"/>
        <v>0</v>
      </c>
      <c r="J19" s="126">
        <v>0</v>
      </c>
      <c r="K19" s="127">
        <f t="shared" si="4"/>
        <v>0</v>
      </c>
      <c r="L19" s="125">
        <v>0</v>
      </c>
      <c r="M19" s="123">
        <f t="shared" si="5"/>
        <v>0</v>
      </c>
      <c r="N19" s="126">
        <v>0</v>
      </c>
      <c r="O19" s="127">
        <f t="shared" si="6"/>
        <v>0</v>
      </c>
      <c r="P19" s="125">
        <v>0</v>
      </c>
      <c r="Q19" s="123">
        <f t="shared" si="7"/>
        <v>0</v>
      </c>
      <c r="R19" s="126">
        <v>0</v>
      </c>
      <c r="S19" s="127">
        <f t="shared" si="8"/>
        <v>0</v>
      </c>
      <c r="T19" s="125">
        <v>0</v>
      </c>
      <c r="U19" s="123">
        <f t="shared" si="9"/>
        <v>0</v>
      </c>
      <c r="V19" s="126">
        <v>0</v>
      </c>
      <c r="W19" s="127">
        <f t="shared" si="10"/>
        <v>0</v>
      </c>
      <c r="X19" s="125">
        <v>0</v>
      </c>
      <c r="Y19" s="123">
        <f t="shared" si="11"/>
        <v>0</v>
      </c>
      <c r="Z19" s="126">
        <v>0</v>
      </c>
      <c r="AA19" s="123">
        <f t="shared" si="12"/>
        <v>0</v>
      </c>
      <c r="AB19" s="126">
        <v>0</v>
      </c>
      <c r="AC19" s="408">
        <f t="shared" si="13"/>
        <v>100</v>
      </c>
    </row>
    <row r="20" spans="1:29" s="141" customFormat="1" ht="15" x14ac:dyDescent="0.2">
      <c r="A20" s="103" t="s">
        <v>227</v>
      </c>
      <c r="B20" s="27" t="str">
        <f>Reforma!D51</f>
        <v>MESO E SUPER - ESTRUTURA</v>
      </c>
      <c r="C20" s="16">
        <f>Reforma!K57</f>
        <v>15670.169999999998</v>
      </c>
      <c r="D20" s="106">
        <f t="shared" si="0"/>
        <v>1.8116862833435967E-2</v>
      </c>
      <c r="E20" s="123">
        <f t="shared" si="1"/>
        <v>0</v>
      </c>
      <c r="F20" s="124">
        <v>0</v>
      </c>
      <c r="G20" s="123">
        <f t="shared" si="2"/>
        <v>4701.0509999999995</v>
      </c>
      <c r="H20" s="125">
        <v>30</v>
      </c>
      <c r="I20" s="123">
        <f t="shared" si="3"/>
        <v>10969.118999999999</v>
      </c>
      <c r="J20" s="126">
        <v>70</v>
      </c>
      <c r="K20" s="127">
        <f t="shared" si="4"/>
        <v>0</v>
      </c>
      <c r="L20" s="125">
        <v>0</v>
      </c>
      <c r="M20" s="123">
        <f t="shared" si="5"/>
        <v>0</v>
      </c>
      <c r="N20" s="126">
        <v>0</v>
      </c>
      <c r="O20" s="127">
        <f t="shared" si="6"/>
        <v>0</v>
      </c>
      <c r="P20" s="125">
        <v>0</v>
      </c>
      <c r="Q20" s="123">
        <f t="shared" si="7"/>
        <v>0</v>
      </c>
      <c r="R20" s="126">
        <v>0</v>
      </c>
      <c r="S20" s="127">
        <f t="shared" si="8"/>
        <v>0</v>
      </c>
      <c r="T20" s="125">
        <v>0</v>
      </c>
      <c r="U20" s="123">
        <f t="shared" si="9"/>
        <v>0</v>
      </c>
      <c r="V20" s="126">
        <v>0</v>
      </c>
      <c r="W20" s="127">
        <f t="shared" si="10"/>
        <v>0</v>
      </c>
      <c r="X20" s="125">
        <v>0</v>
      </c>
      <c r="Y20" s="123">
        <f t="shared" si="11"/>
        <v>0</v>
      </c>
      <c r="Z20" s="126">
        <v>0</v>
      </c>
      <c r="AA20" s="123">
        <f t="shared" si="12"/>
        <v>0</v>
      </c>
      <c r="AB20" s="126">
        <v>0</v>
      </c>
      <c r="AC20" s="408">
        <f t="shared" si="13"/>
        <v>100</v>
      </c>
    </row>
    <row r="21" spans="1:29" s="141" customFormat="1" ht="45" x14ac:dyDescent="0.2">
      <c r="A21" s="103" t="s">
        <v>243</v>
      </c>
      <c r="B21" s="27" t="str">
        <f>Reforma!D58</f>
        <v>IMPERMEABILIZAÇÃO, TRATAMENTOS E ISOLAMENTOS TÉRMICOS</v>
      </c>
      <c r="C21" s="16">
        <f>Reforma!K60</f>
        <v>3320.64</v>
      </c>
      <c r="D21" s="106">
        <f t="shared" si="0"/>
        <v>3.8391146617567525E-3</v>
      </c>
      <c r="E21" s="123">
        <f t="shared" si="1"/>
        <v>0</v>
      </c>
      <c r="F21" s="124">
        <v>0</v>
      </c>
      <c r="G21" s="123">
        <f t="shared" si="2"/>
        <v>0</v>
      </c>
      <c r="H21" s="125">
        <v>0</v>
      </c>
      <c r="I21" s="123">
        <f t="shared" si="3"/>
        <v>996.19200000000001</v>
      </c>
      <c r="J21" s="126">
        <v>30</v>
      </c>
      <c r="K21" s="127">
        <f t="shared" si="4"/>
        <v>2324.4479999999999</v>
      </c>
      <c r="L21" s="125">
        <v>70</v>
      </c>
      <c r="M21" s="123">
        <f t="shared" si="5"/>
        <v>0</v>
      </c>
      <c r="N21" s="126">
        <v>0</v>
      </c>
      <c r="O21" s="127">
        <f t="shared" si="6"/>
        <v>0</v>
      </c>
      <c r="P21" s="125">
        <v>0</v>
      </c>
      <c r="Q21" s="123">
        <f t="shared" si="7"/>
        <v>0</v>
      </c>
      <c r="R21" s="126">
        <v>0</v>
      </c>
      <c r="S21" s="127">
        <f t="shared" si="8"/>
        <v>0</v>
      </c>
      <c r="T21" s="125">
        <v>0</v>
      </c>
      <c r="U21" s="123">
        <f t="shared" si="9"/>
        <v>0</v>
      </c>
      <c r="V21" s="126">
        <v>0</v>
      </c>
      <c r="W21" s="127">
        <f t="shared" si="10"/>
        <v>0</v>
      </c>
      <c r="X21" s="125">
        <v>0</v>
      </c>
      <c r="Y21" s="123">
        <f t="shared" si="11"/>
        <v>0</v>
      </c>
      <c r="Z21" s="126">
        <v>0</v>
      </c>
      <c r="AA21" s="123">
        <f t="shared" si="12"/>
        <v>0</v>
      </c>
      <c r="AB21" s="126">
        <v>0</v>
      </c>
      <c r="AC21" s="408">
        <f t="shared" si="13"/>
        <v>100</v>
      </c>
    </row>
    <row r="22" spans="1:29" s="141" customFormat="1" ht="15" x14ac:dyDescent="0.2">
      <c r="A22" s="103" t="s">
        <v>249</v>
      </c>
      <c r="B22" s="27" t="str">
        <f>Reforma!D61</f>
        <v>ELEMENTOS DE VEDAÇÃO</v>
      </c>
      <c r="C22" s="16">
        <f>Reforma!K65</f>
        <v>16650.95</v>
      </c>
      <c r="D22" s="106">
        <f t="shared" si="0"/>
        <v>1.9250778849010615E-2</v>
      </c>
      <c r="E22" s="123">
        <f t="shared" si="1"/>
        <v>0</v>
      </c>
      <c r="F22" s="124">
        <v>0</v>
      </c>
      <c r="G22" s="123">
        <f t="shared" si="2"/>
        <v>0</v>
      </c>
      <c r="H22" s="125">
        <v>0</v>
      </c>
      <c r="I22" s="123">
        <f t="shared" si="3"/>
        <v>3330.19</v>
      </c>
      <c r="J22" s="126">
        <v>20</v>
      </c>
      <c r="K22" s="127">
        <f t="shared" si="4"/>
        <v>8325.4750000000004</v>
      </c>
      <c r="L22" s="125">
        <v>50</v>
      </c>
      <c r="M22" s="123">
        <f t="shared" si="5"/>
        <v>4995.2849999999999</v>
      </c>
      <c r="N22" s="126">
        <v>30</v>
      </c>
      <c r="O22" s="127">
        <f t="shared" si="6"/>
        <v>0</v>
      </c>
      <c r="P22" s="125">
        <v>0</v>
      </c>
      <c r="Q22" s="123">
        <f t="shared" si="7"/>
        <v>0</v>
      </c>
      <c r="R22" s="126">
        <v>0</v>
      </c>
      <c r="S22" s="127">
        <f t="shared" si="8"/>
        <v>0</v>
      </c>
      <c r="T22" s="125">
        <v>0</v>
      </c>
      <c r="U22" s="123">
        <f t="shared" si="9"/>
        <v>0</v>
      </c>
      <c r="V22" s="126">
        <v>0</v>
      </c>
      <c r="W22" s="127">
        <f t="shared" si="10"/>
        <v>0</v>
      </c>
      <c r="X22" s="125">
        <v>0</v>
      </c>
      <c r="Y22" s="123">
        <f t="shared" si="11"/>
        <v>0</v>
      </c>
      <c r="Z22" s="126">
        <v>0</v>
      </c>
      <c r="AA22" s="123">
        <f t="shared" si="12"/>
        <v>0</v>
      </c>
      <c r="AB22" s="126">
        <v>0</v>
      </c>
      <c r="AC22" s="408">
        <f t="shared" si="13"/>
        <v>100</v>
      </c>
    </row>
    <row r="23" spans="1:29" s="141" customFormat="1" ht="15" x14ac:dyDescent="0.2">
      <c r="A23" s="103" t="s">
        <v>263</v>
      </c>
      <c r="B23" s="48" t="str">
        <f>Reforma!D66</f>
        <v>COBERTURA</v>
      </c>
      <c r="C23" s="16">
        <f>Reforma!K76</f>
        <v>165759.29000000007</v>
      </c>
      <c r="D23" s="106">
        <f t="shared" si="0"/>
        <v>0.19164044297526672</v>
      </c>
      <c r="E23" s="123">
        <f t="shared" si="1"/>
        <v>0</v>
      </c>
      <c r="F23" s="124">
        <v>0</v>
      </c>
      <c r="G23" s="123">
        <f t="shared" si="2"/>
        <v>0</v>
      </c>
      <c r="H23" s="125">
        <v>0</v>
      </c>
      <c r="I23" s="123">
        <f t="shared" si="3"/>
        <v>0</v>
      </c>
      <c r="J23" s="126">
        <v>0</v>
      </c>
      <c r="K23" s="127">
        <f t="shared" si="4"/>
        <v>33151.858000000015</v>
      </c>
      <c r="L23" s="125">
        <v>20</v>
      </c>
      <c r="M23" s="123">
        <f t="shared" si="5"/>
        <v>33151.858000000015</v>
      </c>
      <c r="N23" s="126">
        <v>20</v>
      </c>
      <c r="O23" s="127">
        <f t="shared" si="6"/>
        <v>33151.858000000015</v>
      </c>
      <c r="P23" s="125">
        <v>20</v>
      </c>
      <c r="Q23" s="123">
        <f t="shared" si="7"/>
        <v>33151.858000000015</v>
      </c>
      <c r="R23" s="126">
        <v>20</v>
      </c>
      <c r="S23" s="127">
        <f t="shared" si="8"/>
        <v>33151.858000000015</v>
      </c>
      <c r="T23" s="125">
        <v>20</v>
      </c>
      <c r="U23" s="123">
        <f t="shared" si="9"/>
        <v>0</v>
      </c>
      <c r="V23" s="126">
        <v>0</v>
      </c>
      <c r="W23" s="127">
        <f t="shared" si="10"/>
        <v>0</v>
      </c>
      <c r="X23" s="125">
        <v>0</v>
      </c>
      <c r="Y23" s="123">
        <f t="shared" si="11"/>
        <v>0</v>
      </c>
      <c r="Z23" s="126">
        <v>0</v>
      </c>
      <c r="AA23" s="123">
        <f t="shared" si="12"/>
        <v>0</v>
      </c>
      <c r="AB23" s="126">
        <v>0</v>
      </c>
      <c r="AC23" s="408">
        <f t="shared" si="13"/>
        <v>100</v>
      </c>
    </row>
    <row r="24" spans="1:29" s="141" customFormat="1" ht="15" x14ac:dyDescent="0.2">
      <c r="A24" s="149" t="s">
        <v>296</v>
      </c>
      <c r="B24" s="48" t="str">
        <f>Reforma!D77</f>
        <v>ESQUADRIAS</v>
      </c>
      <c r="C24" s="16">
        <f>Reforma!K86</f>
        <v>49061.86</v>
      </c>
      <c r="D24" s="106">
        <f t="shared" si="0"/>
        <v>5.6722230069823035E-2</v>
      </c>
      <c r="E24" s="123">
        <f t="shared" si="1"/>
        <v>0</v>
      </c>
      <c r="F24" s="124">
        <v>0</v>
      </c>
      <c r="G24" s="123">
        <f t="shared" si="2"/>
        <v>0</v>
      </c>
      <c r="H24" s="125">
        <v>0</v>
      </c>
      <c r="I24" s="123">
        <f t="shared" si="3"/>
        <v>0</v>
      </c>
      <c r="J24" s="126">
        <v>0</v>
      </c>
      <c r="K24" s="127">
        <f t="shared" si="4"/>
        <v>0</v>
      </c>
      <c r="L24" s="125">
        <v>0</v>
      </c>
      <c r="M24" s="123">
        <f t="shared" si="5"/>
        <v>0</v>
      </c>
      <c r="N24" s="126">
        <v>0</v>
      </c>
      <c r="O24" s="127">
        <f t="shared" si="6"/>
        <v>0</v>
      </c>
      <c r="P24" s="125">
        <v>0</v>
      </c>
      <c r="Q24" s="123">
        <f t="shared" si="7"/>
        <v>0</v>
      </c>
      <c r="R24" s="126">
        <v>0</v>
      </c>
      <c r="S24" s="127">
        <f t="shared" si="8"/>
        <v>14718.558000000001</v>
      </c>
      <c r="T24" s="125">
        <v>30</v>
      </c>
      <c r="U24" s="123">
        <f t="shared" si="9"/>
        <v>14718.558000000001</v>
      </c>
      <c r="V24" s="126">
        <v>30</v>
      </c>
      <c r="W24" s="127">
        <f t="shared" si="10"/>
        <v>19624.743999999999</v>
      </c>
      <c r="X24" s="125">
        <v>40</v>
      </c>
      <c r="Y24" s="123">
        <f t="shared" si="11"/>
        <v>0</v>
      </c>
      <c r="Z24" s="126">
        <v>0</v>
      </c>
      <c r="AA24" s="123">
        <f t="shared" si="12"/>
        <v>0</v>
      </c>
      <c r="AB24" s="126">
        <v>0</v>
      </c>
      <c r="AC24" s="408">
        <f t="shared" si="13"/>
        <v>100</v>
      </c>
    </row>
    <row r="25" spans="1:29" s="141" customFormat="1" ht="15" x14ac:dyDescent="0.2">
      <c r="A25" s="149" t="s">
        <v>314</v>
      </c>
      <c r="B25" s="48" t="str">
        <f>Reforma!D87</f>
        <v>REVESTIMENTOS</v>
      </c>
      <c r="C25" s="16">
        <f>Reforma!K94</f>
        <v>34119</v>
      </c>
      <c r="D25" s="106">
        <f t="shared" si="0"/>
        <v>3.9446237214657009E-2</v>
      </c>
      <c r="E25" s="123">
        <f t="shared" si="1"/>
        <v>0</v>
      </c>
      <c r="F25" s="124">
        <v>0</v>
      </c>
      <c r="G25" s="123">
        <f t="shared" si="2"/>
        <v>0</v>
      </c>
      <c r="H25" s="125">
        <v>0</v>
      </c>
      <c r="I25" s="123">
        <f t="shared" si="3"/>
        <v>0</v>
      </c>
      <c r="J25" s="126">
        <v>0</v>
      </c>
      <c r="K25" s="127">
        <f t="shared" si="4"/>
        <v>6823.8</v>
      </c>
      <c r="L25" s="125">
        <v>20</v>
      </c>
      <c r="M25" s="123">
        <f t="shared" si="5"/>
        <v>13647.6</v>
      </c>
      <c r="N25" s="126">
        <v>40</v>
      </c>
      <c r="O25" s="127">
        <f t="shared" si="6"/>
        <v>13647.6</v>
      </c>
      <c r="P25" s="125">
        <v>40</v>
      </c>
      <c r="Q25" s="123">
        <f t="shared" si="7"/>
        <v>0</v>
      </c>
      <c r="R25" s="126">
        <v>0</v>
      </c>
      <c r="S25" s="127">
        <f t="shared" si="8"/>
        <v>0</v>
      </c>
      <c r="T25" s="125">
        <v>0</v>
      </c>
      <c r="U25" s="123">
        <f t="shared" si="9"/>
        <v>0</v>
      </c>
      <c r="V25" s="126">
        <v>0</v>
      </c>
      <c r="W25" s="127">
        <f t="shared" si="10"/>
        <v>0</v>
      </c>
      <c r="X25" s="125">
        <v>0</v>
      </c>
      <c r="Y25" s="123">
        <f t="shared" si="11"/>
        <v>0</v>
      </c>
      <c r="Z25" s="126">
        <v>0</v>
      </c>
      <c r="AA25" s="123">
        <f t="shared" si="12"/>
        <v>0</v>
      </c>
      <c r="AB25" s="126">
        <v>0</v>
      </c>
      <c r="AC25" s="408">
        <f t="shared" si="13"/>
        <v>100</v>
      </c>
    </row>
    <row r="26" spans="1:29" s="141" customFormat="1" ht="15" x14ac:dyDescent="0.2">
      <c r="A26" s="149" t="s">
        <v>340</v>
      </c>
      <c r="B26" s="48" t="str">
        <f>Reforma!D95</f>
        <v>PISOS</v>
      </c>
      <c r="C26" s="16">
        <f>Reforma!K104</f>
        <v>75697.17</v>
      </c>
      <c r="D26" s="106">
        <f t="shared" si="0"/>
        <v>8.7516296617668105E-2</v>
      </c>
      <c r="E26" s="123">
        <f t="shared" si="1"/>
        <v>0</v>
      </c>
      <c r="F26" s="124">
        <v>0</v>
      </c>
      <c r="G26" s="123">
        <f t="shared" si="2"/>
        <v>0</v>
      </c>
      <c r="H26" s="125">
        <v>0</v>
      </c>
      <c r="I26" s="123">
        <f t="shared" si="3"/>
        <v>0</v>
      </c>
      <c r="J26" s="126">
        <v>0</v>
      </c>
      <c r="K26" s="127">
        <f t="shared" si="4"/>
        <v>0</v>
      </c>
      <c r="L26" s="125">
        <v>0</v>
      </c>
      <c r="M26" s="123">
        <f t="shared" si="5"/>
        <v>0</v>
      </c>
      <c r="N26" s="126">
        <v>0</v>
      </c>
      <c r="O26" s="127">
        <f t="shared" si="6"/>
        <v>22709.151000000002</v>
      </c>
      <c r="P26" s="125">
        <v>30</v>
      </c>
      <c r="Q26" s="123">
        <f t="shared" si="7"/>
        <v>22709.151000000002</v>
      </c>
      <c r="R26" s="126">
        <v>30</v>
      </c>
      <c r="S26" s="127">
        <f t="shared" si="8"/>
        <v>30278.867999999999</v>
      </c>
      <c r="T26" s="125">
        <v>40</v>
      </c>
      <c r="U26" s="123">
        <f t="shared" si="9"/>
        <v>0</v>
      </c>
      <c r="V26" s="126">
        <v>0</v>
      </c>
      <c r="W26" s="127">
        <f t="shared" si="10"/>
        <v>0</v>
      </c>
      <c r="X26" s="125">
        <v>0</v>
      </c>
      <c r="Y26" s="123">
        <f t="shared" si="11"/>
        <v>0</v>
      </c>
      <c r="Z26" s="126">
        <v>0</v>
      </c>
      <c r="AA26" s="123">
        <f t="shared" si="12"/>
        <v>0</v>
      </c>
      <c r="AB26" s="126">
        <v>0</v>
      </c>
      <c r="AC26" s="408">
        <f t="shared" si="13"/>
        <v>100</v>
      </c>
    </row>
    <row r="27" spans="1:29" s="141" customFormat="1" ht="15" x14ac:dyDescent="0.2">
      <c r="A27" s="149" t="s">
        <v>374</v>
      </c>
      <c r="B27" s="48" t="str">
        <f>Reforma!D105</f>
        <v>FORROS E DIVISÓRIAS</v>
      </c>
      <c r="C27" s="16">
        <f>Reforma!K108</f>
        <v>68711.95</v>
      </c>
      <c r="D27" s="106">
        <f t="shared" si="0"/>
        <v>7.944042554534575E-2</v>
      </c>
      <c r="E27" s="123">
        <f t="shared" si="1"/>
        <v>0</v>
      </c>
      <c r="F27" s="124">
        <v>0</v>
      </c>
      <c r="G27" s="123">
        <f t="shared" si="2"/>
        <v>0</v>
      </c>
      <c r="H27" s="125">
        <v>0</v>
      </c>
      <c r="I27" s="123">
        <f t="shared" si="3"/>
        <v>0</v>
      </c>
      <c r="J27" s="126">
        <v>0</v>
      </c>
      <c r="K27" s="127">
        <f t="shared" si="4"/>
        <v>0</v>
      </c>
      <c r="L27" s="125">
        <v>0</v>
      </c>
      <c r="M27" s="123">
        <f t="shared" si="5"/>
        <v>0</v>
      </c>
      <c r="N27" s="126">
        <v>0</v>
      </c>
      <c r="O27" s="127">
        <f t="shared" si="6"/>
        <v>0</v>
      </c>
      <c r="P27" s="125">
        <v>0</v>
      </c>
      <c r="Q27" s="123">
        <f t="shared" si="7"/>
        <v>0</v>
      </c>
      <c r="R27" s="126">
        <v>0</v>
      </c>
      <c r="S27" s="127">
        <f t="shared" si="8"/>
        <v>0</v>
      </c>
      <c r="T27" s="125">
        <v>0</v>
      </c>
      <c r="U27" s="123">
        <f t="shared" si="9"/>
        <v>20613.584999999999</v>
      </c>
      <c r="V27" s="126">
        <v>30</v>
      </c>
      <c r="W27" s="127">
        <f t="shared" si="10"/>
        <v>20613.584999999999</v>
      </c>
      <c r="X27" s="125">
        <v>30</v>
      </c>
      <c r="Y27" s="123">
        <f t="shared" si="11"/>
        <v>27484.78</v>
      </c>
      <c r="Z27" s="126">
        <v>40</v>
      </c>
      <c r="AA27" s="123">
        <f t="shared" si="12"/>
        <v>0</v>
      </c>
      <c r="AB27" s="126">
        <v>0</v>
      </c>
      <c r="AC27" s="408">
        <f t="shared" si="13"/>
        <v>100</v>
      </c>
    </row>
    <row r="28" spans="1:29" s="141" customFormat="1" ht="15" x14ac:dyDescent="0.2">
      <c r="A28" s="149" t="s">
        <v>384</v>
      </c>
      <c r="B28" s="48" t="str">
        <f>Reforma!D109</f>
        <v>VIDROS</v>
      </c>
      <c r="C28" s="16">
        <f>Reforma!K111</f>
        <v>7493.6</v>
      </c>
      <c r="D28" s="106">
        <f t="shared" si="0"/>
        <v>8.6636279841658236E-3</v>
      </c>
      <c r="E28" s="123">
        <f t="shared" si="1"/>
        <v>0</v>
      </c>
      <c r="F28" s="124">
        <v>0</v>
      </c>
      <c r="G28" s="123">
        <f t="shared" si="2"/>
        <v>0</v>
      </c>
      <c r="H28" s="125">
        <v>0</v>
      </c>
      <c r="I28" s="123">
        <f t="shared" si="3"/>
        <v>0</v>
      </c>
      <c r="J28" s="126">
        <v>0</v>
      </c>
      <c r="K28" s="127">
        <f t="shared" si="4"/>
        <v>0</v>
      </c>
      <c r="L28" s="125">
        <v>0</v>
      </c>
      <c r="M28" s="123">
        <f t="shared" si="5"/>
        <v>0</v>
      </c>
      <c r="N28" s="126">
        <v>0</v>
      </c>
      <c r="O28" s="127">
        <f t="shared" si="6"/>
        <v>0</v>
      </c>
      <c r="P28" s="125">
        <v>0</v>
      </c>
      <c r="Q28" s="123">
        <f t="shared" si="7"/>
        <v>0</v>
      </c>
      <c r="R28" s="126">
        <v>0</v>
      </c>
      <c r="S28" s="127">
        <f t="shared" si="8"/>
        <v>0</v>
      </c>
      <c r="T28" s="125">
        <v>0</v>
      </c>
      <c r="U28" s="123">
        <f t="shared" si="9"/>
        <v>0</v>
      </c>
      <c r="V28" s="126">
        <v>0</v>
      </c>
      <c r="W28" s="127">
        <f t="shared" si="10"/>
        <v>0</v>
      </c>
      <c r="X28" s="125">
        <v>0</v>
      </c>
      <c r="Y28" s="123">
        <f t="shared" si="11"/>
        <v>3746.8</v>
      </c>
      <c r="Z28" s="126">
        <v>50</v>
      </c>
      <c r="AA28" s="123">
        <f t="shared" si="12"/>
        <v>3746.8</v>
      </c>
      <c r="AB28" s="126">
        <v>50</v>
      </c>
      <c r="AC28" s="408">
        <f t="shared" si="13"/>
        <v>100</v>
      </c>
    </row>
    <row r="29" spans="1:29" s="141" customFormat="1" ht="15" x14ac:dyDescent="0.2">
      <c r="A29" s="149" t="s">
        <v>390</v>
      </c>
      <c r="B29" s="48" t="str">
        <f>Reforma!D112</f>
        <v>PINTURA</v>
      </c>
      <c r="C29" s="16">
        <f>Reforma!K119</f>
        <v>97216.41</v>
      </c>
      <c r="D29" s="106">
        <f t="shared" si="0"/>
        <v>0.11239548550711785</v>
      </c>
      <c r="E29" s="123">
        <f t="shared" si="1"/>
        <v>0</v>
      </c>
      <c r="F29" s="124">
        <v>0</v>
      </c>
      <c r="G29" s="123">
        <f t="shared" si="2"/>
        <v>0</v>
      </c>
      <c r="H29" s="125">
        <v>0</v>
      </c>
      <c r="I29" s="123">
        <f t="shared" si="3"/>
        <v>0</v>
      </c>
      <c r="J29" s="126">
        <v>0</v>
      </c>
      <c r="K29" s="127">
        <f t="shared" si="4"/>
        <v>0</v>
      </c>
      <c r="L29" s="125">
        <v>0</v>
      </c>
      <c r="M29" s="123">
        <f t="shared" si="5"/>
        <v>0</v>
      </c>
      <c r="N29" s="126">
        <v>0</v>
      </c>
      <c r="O29" s="127">
        <f t="shared" si="6"/>
        <v>0</v>
      </c>
      <c r="P29" s="125">
        <v>0</v>
      </c>
      <c r="Q29" s="123">
        <f t="shared" si="7"/>
        <v>0</v>
      </c>
      <c r="R29" s="126">
        <v>0</v>
      </c>
      <c r="S29" s="127">
        <f t="shared" si="8"/>
        <v>0</v>
      </c>
      <c r="T29" s="125">
        <v>0</v>
      </c>
      <c r="U29" s="123">
        <f t="shared" si="9"/>
        <v>0</v>
      </c>
      <c r="V29" s="126">
        <v>0</v>
      </c>
      <c r="W29" s="127">
        <f t="shared" si="10"/>
        <v>29164.923000000003</v>
      </c>
      <c r="X29" s="125">
        <v>30</v>
      </c>
      <c r="Y29" s="123">
        <f t="shared" si="11"/>
        <v>29164.923000000003</v>
      </c>
      <c r="Z29" s="126">
        <v>30</v>
      </c>
      <c r="AA29" s="123">
        <f t="shared" si="12"/>
        <v>38886.564000000006</v>
      </c>
      <c r="AB29" s="126">
        <v>40</v>
      </c>
      <c r="AC29" s="408">
        <f t="shared" si="13"/>
        <v>100</v>
      </c>
    </row>
    <row r="30" spans="1:29" s="141" customFormat="1" ht="30" x14ac:dyDescent="0.2">
      <c r="A30" s="149" t="s">
        <v>412</v>
      </c>
      <c r="B30" s="52" t="str">
        <f>Reforma!D120</f>
        <v>SERVIÇOS CONSTRUTIVOS COMPLEMENTARES</v>
      </c>
      <c r="C30" s="26">
        <f>Reforma!K128</f>
        <v>25831.9</v>
      </c>
      <c r="D30" s="106">
        <f t="shared" si="0"/>
        <v>2.9865214546302598E-2</v>
      </c>
      <c r="E30" s="123">
        <f t="shared" si="1"/>
        <v>0</v>
      </c>
      <c r="F30" s="124">
        <v>0</v>
      </c>
      <c r="G30" s="123">
        <f t="shared" si="2"/>
        <v>0</v>
      </c>
      <c r="H30" s="125">
        <v>0</v>
      </c>
      <c r="I30" s="123">
        <f t="shared" si="3"/>
        <v>0</v>
      </c>
      <c r="J30" s="126">
        <v>0</v>
      </c>
      <c r="K30" s="127">
        <f t="shared" si="4"/>
        <v>0</v>
      </c>
      <c r="L30" s="125">
        <v>0</v>
      </c>
      <c r="M30" s="123">
        <f t="shared" si="5"/>
        <v>0</v>
      </c>
      <c r="N30" s="126">
        <v>0</v>
      </c>
      <c r="O30" s="127">
        <f t="shared" si="6"/>
        <v>0</v>
      </c>
      <c r="P30" s="125">
        <v>0</v>
      </c>
      <c r="Q30" s="123">
        <f t="shared" si="7"/>
        <v>0</v>
      </c>
      <c r="R30" s="126">
        <v>0</v>
      </c>
      <c r="S30" s="127">
        <f t="shared" si="8"/>
        <v>0</v>
      </c>
      <c r="T30" s="125">
        <v>0</v>
      </c>
      <c r="U30" s="123">
        <f t="shared" si="9"/>
        <v>0</v>
      </c>
      <c r="V30" s="126">
        <v>0</v>
      </c>
      <c r="W30" s="127">
        <f t="shared" si="10"/>
        <v>0</v>
      </c>
      <c r="X30" s="125">
        <v>0</v>
      </c>
      <c r="Y30" s="123">
        <f t="shared" si="11"/>
        <v>12915.95</v>
      </c>
      <c r="Z30" s="126">
        <v>50</v>
      </c>
      <c r="AA30" s="123">
        <f t="shared" si="12"/>
        <v>12915.95</v>
      </c>
      <c r="AB30" s="126">
        <v>50</v>
      </c>
      <c r="AC30" s="408">
        <f t="shared" si="13"/>
        <v>100</v>
      </c>
    </row>
    <row r="31" spans="1:29" s="141" customFormat="1" ht="45" x14ac:dyDescent="0.2">
      <c r="A31" s="149" t="s">
        <v>430</v>
      </c>
      <c r="B31" s="52" t="str">
        <f>Reforma!D129</f>
        <v>URBANIZAÇÃO / PAISAGISMO E DRENAGEM DE ÁGUAS PLUVIAIS</v>
      </c>
      <c r="C31" s="16">
        <f>Reforma!K139</f>
        <v>51454.59</v>
      </c>
      <c r="D31" s="106">
        <f t="shared" si="0"/>
        <v>5.9488553677508667E-2</v>
      </c>
      <c r="E31" s="123">
        <f t="shared" si="1"/>
        <v>0</v>
      </c>
      <c r="F31" s="124">
        <v>0</v>
      </c>
      <c r="G31" s="123">
        <f t="shared" si="2"/>
        <v>0</v>
      </c>
      <c r="H31" s="125">
        <v>0</v>
      </c>
      <c r="I31" s="123">
        <f t="shared" si="3"/>
        <v>0</v>
      </c>
      <c r="J31" s="126">
        <v>0</v>
      </c>
      <c r="K31" s="127">
        <f t="shared" si="4"/>
        <v>0</v>
      </c>
      <c r="L31" s="125">
        <v>0</v>
      </c>
      <c r="M31" s="123">
        <f t="shared" si="5"/>
        <v>0</v>
      </c>
      <c r="N31" s="126">
        <v>0</v>
      </c>
      <c r="O31" s="127">
        <f t="shared" si="6"/>
        <v>0</v>
      </c>
      <c r="P31" s="125">
        <v>0</v>
      </c>
      <c r="Q31" s="123">
        <f t="shared" si="7"/>
        <v>0</v>
      </c>
      <c r="R31" s="126">
        <v>0</v>
      </c>
      <c r="S31" s="127">
        <f t="shared" si="8"/>
        <v>0</v>
      </c>
      <c r="T31" s="125">
        <v>0</v>
      </c>
      <c r="U31" s="123">
        <f t="shared" si="9"/>
        <v>0</v>
      </c>
      <c r="V31" s="126">
        <v>0</v>
      </c>
      <c r="W31" s="127">
        <f t="shared" si="10"/>
        <v>0</v>
      </c>
      <c r="X31" s="125">
        <v>0</v>
      </c>
      <c r="Y31" s="123">
        <f t="shared" si="11"/>
        <v>25727.294999999998</v>
      </c>
      <c r="Z31" s="126">
        <v>50</v>
      </c>
      <c r="AA31" s="123">
        <f t="shared" si="12"/>
        <v>25727.294999999998</v>
      </c>
      <c r="AB31" s="126">
        <v>50</v>
      </c>
      <c r="AC31" s="408">
        <f t="shared" si="13"/>
        <v>100</v>
      </c>
    </row>
    <row r="32" spans="1:29" s="141" customFormat="1" ht="30" x14ac:dyDescent="0.2">
      <c r="A32" s="149" t="s">
        <v>463</v>
      </c>
      <c r="B32" s="52" t="str">
        <f>Reforma!D140</f>
        <v>INSTALAÇÕES PREVENÇÃO E COMBATE A INCÊNDIO</v>
      </c>
      <c r="C32" s="16">
        <f>Reforma!K143</f>
        <v>817.78</v>
      </c>
      <c r="D32" s="106">
        <f t="shared" si="0"/>
        <v>9.4546568977409086E-4</v>
      </c>
      <c r="E32" s="123">
        <f t="shared" si="1"/>
        <v>0</v>
      </c>
      <c r="F32" s="124">
        <v>0</v>
      </c>
      <c r="G32" s="123">
        <f t="shared" si="2"/>
        <v>0</v>
      </c>
      <c r="H32" s="125">
        <v>0</v>
      </c>
      <c r="I32" s="123">
        <f t="shared" si="3"/>
        <v>0</v>
      </c>
      <c r="J32" s="126">
        <v>0</v>
      </c>
      <c r="K32" s="127">
        <f t="shared" si="4"/>
        <v>0</v>
      </c>
      <c r="L32" s="125">
        <v>0</v>
      </c>
      <c r="M32" s="123">
        <f t="shared" si="5"/>
        <v>0</v>
      </c>
      <c r="N32" s="126">
        <v>0</v>
      </c>
      <c r="O32" s="127">
        <f t="shared" si="6"/>
        <v>0</v>
      </c>
      <c r="P32" s="125">
        <v>0</v>
      </c>
      <c r="Q32" s="123">
        <f t="shared" si="7"/>
        <v>0</v>
      </c>
      <c r="R32" s="126">
        <v>0</v>
      </c>
      <c r="S32" s="127">
        <f t="shared" si="8"/>
        <v>0</v>
      </c>
      <c r="T32" s="125">
        <v>0</v>
      </c>
      <c r="U32" s="123">
        <f t="shared" si="9"/>
        <v>0</v>
      </c>
      <c r="V32" s="126">
        <v>0</v>
      </c>
      <c r="W32" s="127">
        <f t="shared" si="10"/>
        <v>0</v>
      </c>
      <c r="X32" s="125">
        <v>0</v>
      </c>
      <c r="Y32" s="123">
        <f t="shared" si="11"/>
        <v>0</v>
      </c>
      <c r="Z32" s="126">
        <v>0</v>
      </c>
      <c r="AA32" s="123">
        <f t="shared" si="12"/>
        <v>817.78</v>
      </c>
      <c r="AB32" s="126">
        <v>100</v>
      </c>
      <c r="AC32" s="408">
        <f t="shared" si="13"/>
        <v>100</v>
      </c>
    </row>
    <row r="33" spans="1:29" s="141" customFormat="1" ht="15" x14ac:dyDescent="0.2">
      <c r="A33" s="149" t="s">
        <v>473</v>
      </c>
      <c r="B33" s="54" t="str">
        <f>Reforma!D144</f>
        <v>LIMPEZA</v>
      </c>
      <c r="C33" s="16">
        <f>Reforma!K146</f>
        <v>6582.56</v>
      </c>
      <c r="D33" s="106">
        <f t="shared" si="0"/>
        <v>7.6103409607465823E-3</v>
      </c>
      <c r="E33" s="123">
        <f t="shared" si="1"/>
        <v>0</v>
      </c>
      <c r="F33" s="124">
        <v>0</v>
      </c>
      <c r="G33" s="123">
        <f t="shared" si="2"/>
        <v>0</v>
      </c>
      <c r="H33" s="125">
        <v>0</v>
      </c>
      <c r="I33" s="123">
        <f t="shared" si="3"/>
        <v>0</v>
      </c>
      <c r="J33" s="126">
        <v>0</v>
      </c>
      <c r="K33" s="127">
        <f t="shared" si="4"/>
        <v>0</v>
      </c>
      <c r="L33" s="125">
        <v>0</v>
      </c>
      <c r="M33" s="123">
        <f t="shared" si="5"/>
        <v>0</v>
      </c>
      <c r="N33" s="126">
        <v>0</v>
      </c>
      <c r="O33" s="127">
        <f t="shared" si="6"/>
        <v>0</v>
      </c>
      <c r="P33" s="125">
        <v>0</v>
      </c>
      <c r="Q33" s="123">
        <f t="shared" si="7"/>
        <v>0</v>
      </c>
      <c r="R33" s="126">
        <v>0</v>
      </c>
      <c r="S33" s="127">
        <f t="shared" si="8"/>
        <v>0</v>
      </c>
      <c r="T33" s="125">
        <v>0</v>
      </c>
      <c r="U33" s="123">
        <f t="shared" si="9"/>
        <v>0</v>
      </c>
      <c r="V33" s="126">
        <v>0</v>
      </c>
      <c r="W33" s="127">
        <f t="shared" si="10"/>
        <v>0</v>
      </c>
      <c r="X33" s="125">
        <v>0</v>
      </c>
      <c r="Y33" s="123">
        <f t="shared" si="11"/>
        <v>0</v>
      </c>
      <c r="Z33" s="126">
        <v>0</v>
      </c>
      <c r="AA33" s="123">
        <f t="shared" si="12"/>
        <v>6582.56</v>
      </c>
      <c r="AB33" s="126">
        <v>100</v>
      </c>
      <c r="AC33" s="408">
        <f t="shared" si="13"/>
        <v>100</v>
      </c>
    </row>
    <row r="34" spans="1:29" s="141" customFormat="1" ht="15" x14ac:dyDescent="0.2">
      <c r="A34" s="675" t="s">
        <v>502</v>
      </c>
      <c r="B34" s="676"/>
      <c r="C34" s="24">
        <f>SUM(C16:C33)</f>
        <v>864949.42000000016</v>
      </c>
      <c r="D34" s="107">
        <f>SUM(D16:D33)</f>
        <v>1</v>
      </c>
      <c r="E34" s="150">
        <f>SUM(E16:E33)</f>
        <v>125525.9518</v>
      </c>
      <c r="F34" s="151">
        <f>E34/$C$34</f>
        <v>0.14512519333211413</v>
      </c>
      <c r="G34" s="152">
        <f>SUM(G16:G33)</f>
        <v>42176.287199999999</v>
      </c>
      <c r="H34" s="151">
        <f>G34/$C$34</f>
        <v>4.8761564809188487E-2</v>
      </c>
      <c r="I34" s="150">
        <f>SUM(I16:I33)</f>
        <v>23651.537199999999</v>
      </c>
      <c r="J34" s="151">
        <f>I34/$C$34</f>
        <v>2.7344416509349177E-2</v>
      </c>
      <c r="K34" s="152">
        <f>SUM(K16:K33)</f>
        <v>58981.617200000022</v>
      </c>
      <c r="L34" s="151">
        <f>K34/$C$34</f>
        <v>6.819082808333464E-2</v>
      </c>
      <c r="M34" s="150">
        <f>SUM(M16:M33)</f>
        <v>60150.779200000012</v>
      </c>
      <c r="N34" s="151">
        <f>M34/$C$34</f>
        <v>6.954253949323419E-2</v>
      </c>
      <c r="O34" s="152">
        <f>SUM(O16:O33)</f>
        <v>77864.645200000014</v>
      </c>
      <c r="P34" s="151">
        <f>O34/$C$34</f>
        <v>9.0022194823831433E-2</v>
      </c>
      <c r="Q34" s="150">
        <f>SUM(Q16:Q33)</f>
        <v>64217.045200000022</v>
      </c>
      <c r="R34" s="151">
        <f>Q34/$C$34</f>
        <v>7.4243699937968644E-2</v>
      </c>
      <c r="S34" s="152">
        <f>SUM(S16:S33)</f>
        <v>86505.320200000016</v>
      </c>
      <c r="T34" s="151">
        <f>S34/$C$34</f>
        <v>0.10001199862068236</v>
      </c>
      <c r="U34" s="150">
        <f>SUM(U16:U33)</f>
        <v>43688.179199999999</v>
      </c>
      <c r="V34" s="151">
        <f>U34/$C$34</f>
        <v>5.0509519042165482E-2</v>
      </c>
      <c r="W34" s="152">
        <f>SUM(W16:W33)</f>
        <v>77759.28820000001</v>
      </c>
      <c r="X34" s="151">
        <f>W34/$C$34</f>
        <v>8.9900387701283155E-2</v>
      </c>
      <c r="Y34" s="150">
        <f>SUM(Y16:Y33)</f>
        <v>107395.78419999999</v>
      </c>
      <c r="Z34" s="151">
        <f>Y34/$C$34</f>
        <v>0.12416423633187704</v>
      </c>
      <c r="AA34" s="152">
        <f>SUM(AA16:AA33)</f>
        <v>97032.985199999996</v>
      </c>
      <c r="AB34" s="151">
        <f>AA34/$C$34</f>
        <v>0.11218342131497121</v>
      </c>
    </row>
    <row r="35" spans="1:29" s="141" customFormat="1" ht="15" x14ac:dyDescent="0.2">
      <c r="A35" s="675" t="s">
        <v>503</v>
      </c>
      <c r="B35" s="676"/>
      <c r="C35" s="17"/>
      <c r="D35" s="153"/>
      <c r="E35" s="150">
        <f>SUM(E34)</f>
        <v>125525.9518</v>
      </c>
      <c r="F35" s="151">
        <f>E35/C34</f>
        <v>0.14512519333211413</v>
      </c>
      <c r="G35" s="152">
        <f t="shared" ref="G35:AB35" si="14">E35+G34</f>
        <v>167702.239</v>
      </c>
      <c r="H35" s="153">
        <f t="shared" si="14"/>
        <v>0.19388675814130263</v>
      </c>
      <c r="I35" s="150">
        <f t="shared" si="14"/>
        <v>191353.77619999999</v>
      </c>
      <c r="J35" s="151">
        <f t="shared" si="14"/>
        <v>0.22123117465065181</v>
      </c>
      <c r="K35" s="152">
        <f t="shared" si="14"/>
        <v>250335.3934</v>
      </c>
      <c r="L35" s="153">
        <f t="shared" si="14"/>
        <v>0.28942200273398644</v>
      </c>
      <c r="M35" s="150">
        <f t="shared" si="14"/>
        <v>310486.17259999999</v>
      </c>
      <c r="N35" s="151">
        <f t="shared" si="14"/>
        <v>0.35896454222722063</v>
      </c>
      <c r="O35" s="152">
        <f t="shared" si="14"/>
        <v>388350.81780000002</v>
      </c>
      <c r="P35" s="153">
        <f t="shared" si="14"/>
        <v>0.44898673705105208</v>
      </c>
      <c r="Q35" s="150">
        <f t="shared" si="14"/>
        <v>452567.86300000001</v>
      </c>
      <c r="R35" s="151">
        <f t="shared" si="14"/>
        <v>0.52323043698902072</v>
      </c>
      <c r="S35" s="152">
        <f t="shared" si="14"/>
        <v>539073.18320000009</v>
      </c>
      <c r="T35" s="153">
        <f t="shared" si="14"/>
        <v>0.62324243560970305</v>
      </c>
      <c r="U35" s="150">
        <f t="shared" si="14"/>
        <v>582761.3624000001</v>
      </c>
      <c r="V35" s="151">
        <f t="shared" si="14"/>
        <v>0.67375195465186855</v>
      </c>
      <c r="W35" s="152">
        <f t="shared" si="14"/>
        <v>660520.65060000005</v>
      </c>
      <c r="X35" s="153">
        <f t="shared" si="14"/>
        <v>0.76365234235315171</v>
      </c>
      <c r="Y35" s="150">
        <f t="shared" si="14"/>
        <v>767916.43480000005</v>
      </c>
      <c r="Z35" s="151">
        <f t="shared" si="14"/>
        <v>0.88781657868502872</v>
      </c>
      <c r="AA35" s="152">
        <f t="shared" si="14"/>
        <v>864949.42</v>
      </c>
      <c r="AB35" s="151">
        <f t="shared" si="14"/>
        <v>0.99999999999999989</v>
      </c>
    </row>
    <row r="36" spans="1:29" ht="15.75" thickBot="1" x14ac:dyDescent="0.3">
      <c r="A36" s="677" t="str">
        <f>RESUMO!A22</f>
        <v>CUIABÁ - MT, 04 DE NOVEMBRO DE 2022</v>
      </c>
      <c r="B36" s="678"/>
      <c r="C36" s="678"/>
      <c r="D36" s="678"/>
      <c r="E36" s="678"/>
      <c r="F36" s="678"/>
      <c r="G36" s="678"/>
      <c r="H36" s="678"/>
      <c r="I36" s="678"/>
      <c r="J36" s="678"/>
      <c r="K36" s="678"/>
      <c r="L36" s="678"/>
      <c r="M36" s="678"/>
      <c r="N36" s="678"/>
      <c r="O36" s="678"/>
      <c r="P36" s="678"/>
      <c r="Q36" s="678"/>
      <c r="R36" s="678"/>
      <c r="S36" s="678"/>
      <c r="T36" s="678"/>
      <c r="U36" s="678"/>
      <c r="V36" s="678"/>
      <c r="W36" s="678"/>
      <c r="X36" s="678"/>
      <c r="Y36" s="678"/>
      <c r="Z36" s="678"/>
      <c r="AA36" s="678"/>
      <c r="AB36" s="679"/>
    </row>
  </sheetData>
  <mergeCells count="20">
    <mergeCell ref="A34:B34"/>
    <mergeCell ref="Q14:R14"/>
    <mergeCell ref="A36:AB36"/>
    <mergeCell ref="A35:B35"/>
    <mergeCell ref="A13:A15"/>
    <mergeCell ref="B13:B15"/>
    <mergeCell ref="C13:D14"/>
    <mergeCell ref="I14:J14"/>
    <mergeCell ref="K14:L14"/>
    <mergeCell ref="M14:N14"/>
    <mergeCell ref="U14:V14"/>
    <mergeCell ref="O14:P14"/>
    <mergeCell ref="A12:V12"/>
    <mergeCell ref="E13:AB13"/>
    <mergeCell ref="Y14:Z14"/>
    <mergeCell ref="AA14:AB14"/>
    <mergeCell ref="W14:X14"/>
    <mergeCell ref="E14:F14"/>
    <mergeCell ref="G14:H14"/>
    <mergeCell ref="S14:T14"/>
  </mergeCells>
  <phoneticPr fontId="14" type="noConversion"/>
  <printOptions horizontalCentered="1"/>
  <pageMargins left="0.19685039370078741" right="0.19685039370078741" top="0.59055118110236227" bottom="0.59055118110236227" header="0.51181102362204722" footer="0.51181102362204722"/>
  <pageSetup paperSize="9" scale="50" orientation="landscape" r:id="rId1"/>
  <headerFooter alignWithMargins="0">
    <oddHeader>Página &amp;P de &amp;N</oddHeader>
    <oddFooter>&amp;C&amp;F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I136"/>
  <sheetViews>
    <sheetView view="pageBreakPreview" topLeftCell="A46" zoomScaleNormal="110" workbookViewId="0">
      <selection activeCell="C12" sqref="C12"/>
    </sheetView>
  </sheetViews>
  <sheetFormatPr defaultColWidth="9.140625" defaultRowHeight="12.75" x14ac:dyDescent="0.2"/>
  <cols>
    <col min="1" max="1" width="5.28515625" style="88" customWidth="1"/>
    <col min="2" max="2" width="24.5703125" style="67" customWidth="1"/>
    <col min="3" max="3" width="57.42578125" style="67" customWidth="1"/>
    <col min="4" max="4" width="7.140625" style="67" customWidth="1"/>
    <col min="5" max="5" width="9.28515625" style="67" customWidth="1"/>
    <col min="6" max="6" width="9.7109375" style="67" bestFit="1" customWidth="1"/>
    <col min="7" max="7" width="9.7109375" style="67" customWidth="1"/>
    <col min="8" max="8" width="18" style="67" customWidth="1"/>
    <col min="9" max="12" width="9.140625" style="67"/>
    <col min="13" max="13" width="10.85546875" style="67" customWidth="1"/>
    <col min="14" max="15" width="11" style="67" customWidth="1"/>
    <col min="16" max="16384" width="9.140625" style="67"/>
  </cols>
  <sheetData>
    <row r="1" spans="1:7" x14ac:dyDescent="0.2">
      <c r="A1" s="684" t="s">
        <v>504</v>
      </c>
      <c r="B1" s="684"/>
      <c r="C1" s="684"/>
      <c r="D1" s="684"/>
      <c r="E1" s="684"/>
    </row>
    <row r="2" spans="1:7" x14ac:dyDescent="0.2">
      <c r="A2" s="684" t="s">
        <v>505</v>
      </c>
      <c r="B2" s="684"/>
      <c r="C2" s="684"/>
      <c r="D2" s="684"/>
      <c r="E2" s="684"/>
    </row>
    <row r="3" spans="1:7" x14ac:dyDescent="0.2">
      <c r="A3" s="69" t="s">
        <v>80</v>
      </c>
      <c r="B3" s="69" t="s">
        <v>506</v>
      </c>
      <c r="C3" s="393" t="s">
        <v>507</v>
      </c>
      <c r="D3" s="69" t="s">
        <v>508</v>
      </c>
      <c r="E3" s="69" t="s">
        <v>509</v>
      </c>
    </row>
    <row r="4" spans="1:7" ht="25.5" x14ac:dyDescent="0.2">
      <c r="A4" s="72" t="s">
        <v>94</v>
      </c>
      <c r="B4" s="70" t="s">
        <v>510</v>
      </c>
      <c r="C4" s="71" t="s">
        <v>511</v>
      </c>
      <c r="D4" s="72" t="s">
        <v>512</v>
      </c>
      <c r="E4" s="73">
        <f>90.62*2.2</f>
        <v>199.36400000000003</v>
      </c>
      <c r="F4" s="68">
        <f t="shared" ref="F4:F78" si="0">ROUND(E4,2)</f>
        <v>199.36</v>
      </c>
      <c r="G4" s="67" t="s">
        <v>513</v>
      </c>
    </row>
    <row r="5" spans="1:7" x14ac:dyDescent="0.2">
      <c r="A5" s="72" t="s">
        <v>99</v>
      </c>
      <c r="B5" s="70" t="s">
        <v>514</v>
      </c>
      <c r="C5" s="71" t="s">
        <v>515</v>
      </c>
      <c r="D5" s="72" t="s">
        <v>98</v>
      </c>
      <c r="E5" s="73">
        <f>7*7</f>
        <v>49</v>
      </c>
      <c r="F5" s="68">
        <f t="shared" si="0"/>
        <v>49</v>
      </c>
      <c r="G5" s="67" t="s">
        <v>513</v>
      </c>
    </row>
    <row r="6" spans="1:7" x14ac:dyDescent="0.2">
      <c r="A6" s="72" t="s">
        <v>103</v>
      </c>
      <c r="B6" s="70" t="s">
        <v>516</v>
      </c>
      <c r="C6" s="374" t="s">
        <v>517</v>
      </c>
      <c r="D6" s="72" t="s">
        <v>512</v>
      </c>
      <c r="E6" s="73">
        <f>5*2.5</f>
        <v>12.5</v>
      </c>
      <c r="F6" s="68">
        <f t="shared" si="0"/>
        <v>12.5</v>
      </c>
      <c r="G6" s="67" t="s">
        <v>513</v>
      </c>
    </row>
    <row r="7" spans="1:7" x14ac:dyDescent="0.2">
      <c r="A7" s="72" t="s">
        <v>106</v>
      </c>
      <c r="B7" s="70" t="s">
        <v>518</v>
      </c>
      <c r="C7" s="71" t="s">
        <v>519</v>
      </c>
      <c r="D7" s="78" t="s">
        <v>110</v>
      </c>
      <c r="E7" s="73">
        <v>1</v>
      </c>
      <c r="F7" s="68">
        <f t="shared" si="0"/>
        <v>1</v>
      </c>
      <c r="G7" s="67" t="s">
        <v>513</v>
      </c>
    </row>
    <row r="8" spans="1:7" x14ac:dyDescent="0.2">
      <c r="A8" s="72" t="s">
        <v>111</v>
      </c>
      <c r="B8" s="70" t="s">
        <v>520</v>
      </c>
      <c r="C8" s="71" t="s">
        <v>521</v>
      </c>
      <c r="D8" s="78" t="s">
        <v>110</v>
      </c>
      <c r="E8" s="73">
        <v>1</v>
      </c>
      <c r="F8" s="68">
        <f t="shared" si="0"/>
        <v>1</v>
      </c>
      <c r="G8" s="67" t="s">
        <v>513</v>
      </c>
    </row>
    <row r="9" spans="1:7" x14ac:dyDescent="0.2">
      <c r="A9" s="72" t="s">
        <v>115</v>
      </c>
      <c r="B9" s="70" t="s">
        <v>522</v>
      </c>
      <c r="C9" s="71"/>
      <c r="D9" s="72" t="s">
        <v>119</v>
      </c>
      <c r="E9" s="73">
        <v>36</v>
      </c>
      <c r="F9" s="68">
        <f t="shared" si="0"/>
        <v>36</v>
      </c>
      <c r="G9" s="67" t="s">
        <v>513</v>
      </c>
    </row>
    <row r="10" spans="1:7" ht="114.75" x14ac:dyDescent="0.2">
      <c r="A10" s="72" t="s">
        <v>120</v>
      </c>
      <c r="B10" s="70" t="s">
        <v>523</v>
      </c>
      <c r="C10" s="71" t="s">
        <v>524</v>
      </c>
      <c r="D10" s="72" t="s">
        <v>124</v>
      </c>
      <c r="E10" s="73">
        <v>12</v>
      </c>
      <c r="F10" s="68">
        <f>ROUND(E10,2)</f>
        <v>12</v>
      </c>
      <c r="G10" s="67" t="s">
        <v>513</v>
      </c>
    </row>
    <row r="11" spans="1:7" ht="12.75" customHeight="1" x14ac:dyDescent="0.2">
      <c r="A11" s="684" t="s">
        <v>525</v>
      </c>
      <c r="B11" s="684"/>
      <c r="C11" s="684"/>
      <c r="D11" s="684"/>
      <c r="E11" s="684"/>
      <c r="F11" s="68"/>
    </row>
    <row r="12" spans="1:7" ht="127.5" x14ac:dyDescent="0.2">
      <c r="A12" s="86" t="s">
        <v>127</v>
      </c>
      <c r="B12" s="264" t="s">
        <v>526</v>
      </c>
      <c r="C12" s="268" t="s">
        <v>527</v>
      </c>
      <c r="D12" s="86" t="s">
        <v>528</v>
      </c>
      <c r="E12" s="265">
        <f>(30+15.9+23.13+31.1+6.3+8.9+55)*0.15*2.7</f>
        <v>68.983649999999997</v>
      </c>
      <c r="F12" s="266">
        <f t="shared" si="0"/>
        <v>68.98</v>
      </c>
      <c r="G12" s="267" t="s">
        <v>513</v>
      </c>
    </row>
    <row r="13" spans="1:7" ht="25.5" x14ac:dyDescent="0.2">
      <c r="A13" s="86" t="s">
        <v>131</v>
      </c>
      <c r="B13" s="248" t="s">
        <v>529</v>
      </c>
      <c r="C13" s="71" t="s">
        <v>530</v>
      </c>
      <c r="D13" s="72" t="s">
        <v>512</v>
      </c>
      <c r="E13" s="73">
        <f>1031.47+398</f>
        <v>1429.47</v>
      </c>
      <c r="F13" s="68">
        <f t="shared" si="0"/>
        <v>1429.47</v>
      </c>
      <c r="G13" s="67" t="s">
        <v>513</v>
      </c>
    </row>
    <row r="14" spans="1:7" x14ac:dyDescent="0.2">
      <c r="A14" s="86" t="s">
        <v>135</v>
      </c>
      <c r="B14" s="70" t="s">
        <v>531</v>
      </c>
      <c r="C14" s="71" t="s">
        <v>530</v>
      </c>
      <c r="D14" s="72" t="s">
        <v>512</v>
      </c>
      <c r="E14" s="73">
        <f>E13</f>
        <v>1429.47</v>
      </c>
      <c r="F14" s="68">
        <f t="shared" si="0"/>
        <v>1429.47</v>
      </c>
      <c r="G14" s="67" t="s">
        <v>513</v>
      </c>
    </row>
    <row r="15" spans="1:7" ht="25.5" x14ac:dyDescent="0.2">
      <c r="A15" s="86" t="s">
        <v>139</v>
      </c>
      <c r="B15" s="248" t="s">
        <v>532</v>
      </c>
      <c r="C15" s="71" t="s">
        <v>533</v>
      </c>
      <c r="D15" s="72" t="s">
        <v>512</v>
      </c>
      <c r="E15" s="73">
        <f>(0.8*2.1*23)+(0.6*2.1*9)+(1.8*0.9*35)+(1.95*1*2)+(1.8*1.9*23)</f>
        <v>189.24</v>
      </c>
      <c r="F15" s="68">
        <f t="shared" si="0"/>
        <v>189.24</v>
      </c>
      <c r="G15" s="67" t="s">
        <v>513</v>
      </c>
    </row>
    <row r="16" spans="1:7" ht="25.5" x14ac:dyDescent="0.2">
      <c r="A16" s="86" t="s">
        <v>143</v>
      </c>
      <c r="B16" s="248" t="s">
        <v>534</v>
      </c>
      <c r="C16" s="71" t="s">
        <v>535</v>
      </c>
      <c r="D16" s="72" t="s">
        <v>512</v>
      </c>
      <c r="E16" s="73">
        <f>(0.8*2.1*1)</f>
        <v>1.6800000000000002</v>
      </c>
      <c r="F16" s="68">
        <f t="shared" si="0"/>
        <v>1.68</v>
      </c>
      <c r="G16" s="67" t="s">
        <v>513</v>
      </c>
    </row>
    <row r="17" spans="1:8" ht="38.25" x14ac:dyDescent="0.2">
      <c r="A17" s="86" t="s">
        <v>147</v>
      </c>
      <c r="B17" s="70" t="s">
        <v>536</v>
      </c>
      <c r="C17" s="71" t="s">
        <v>537</v>
      </c>
      <c r="D17" s="72" t="s">
        <v>512</v>
      </c>
      <c r="E17" s="73">
        <f>255.22*1.8</f>
        <v>459.39600000000002</v>
      </c>
      <c r="F17" s="68">
        <f t="shared" si="0"/>
        <v>459.4</v>
      </c>
      <c r="G17" s="67" t="s">
        <v>513</v>
      </c>
    </row>
    <row r="18" spans="1:8" ht="25.5" x14ac:dyDescent="0.2">
      <c r="A18" s="86" t="s">
        <v>151</v>
      </c>
      <c r="B18" s="70" t="s">
        <v>538</v>
      </c>
      <c r="C18" s="71" t="s">
        <v>539</v>
      </c>
      <c r="D18" s="72" t="s">
        <v>512</v>
      </c>
      <c r="E18" s="73">
        <f>(12+20)*2</f>
        <v>64</v>
      </c>
      <c r="F18" s="68">
        <f t="shared" si="0"/>
        <v>64</v>
      </c>
      <c r="G18" s="67" t="s">
        <v>513</v>
      </c>
    </row>
    <row r="19" spans="1:8" ht="89.25" x14ac:dyDescent="0.2">
      <c r="A19" s="86" t="s">
        <v>155</v>
      </c>
      <c r="B19" s="70" t="s">
        <v>540</v>
      </c>
      <c r="C19" s="269" t="s">
        <v>541</v>
      </c>
      <c r="D19" s="72" t="s">
        <v>512</v>
      </c>
      <c r="E19" s="73">
        <f>15.92+77.6+103.8+153.8+85</f>
        <v>436.12</v>
      </c>
      <c r="F19" s="68">
        <f t="shared" si="0"/>
        <v>436.12</v>
      </c>
      <c r="G19" s="67" t="s">
        <v>513</v>
      </c>
    </row>
    <row r="20" spans="1:8" ht="51" x14ac:dyDescent="0.2">
      <c r="A20" s="86" t="s">
        <v>159</v>
      </c>
      <c r="B20" s="264" t="s">
        <v>542</v>
      </c>
      <c r="C20" s="268" t="s">
        <v>543</v>
      </c>
      <c r="D20" s="86" t="s">
        <v>512</v>
      </c>
      <c r="E20" s="265">
        <f>63.2+23.22+45.6+48+22.13</f>
        <v>202.15</v>
      </c>
      <c r="F20" s="266">
        <f t="shared" si="0"/>
        <v>202.15</v>
      </c>
      <c r="G20" s="267" t="s">
        <v>513</v>
      </c>
    </row>
    <row r="21" spans="1:8" ht="89.25" x14ac:dyDescent="0.2">
      <c r="A21" s="86" t="s">
        <v>163</v>
      </c>
      <c r="B21" s="264" t="s">
        <v>544</v>
      </c>
      <c r="C21" s="268" t="s">
        <v>545</v>
      </c>
      <c r="D21" s="86" t="s">
        <v>512</v>
      </c>
      <c r="E21" s="265">
        <f>446.5+47.4+50.09</f>
        <v>543.99</v>
      </c>
      <c r="F21" s="266">
        <f t="shared" si="0"/>
        <v>543.99</v>
      </c>
      <c r="G21" s="267" t="s">
        <v>513</v>
      </c>
    </row>
    <row r="22" spans="1:8" ht="25.5" x14ac:dyDescent="0.2">
      <c r="A22" s="86" t="s">
        <v>167</v>
      </c>
      <c r="B22" s="70" t="s">
        <v>546</v>
      </c>
      <c r="C22" s="71" t="s">
        <v>547</v>
      </c>
      <c r="D22" s="72" t="s">
        <v>512</v>
      </c>
      <c r="E22" s="73">
        <f>292.12*1.2</f>
        <v>350.54399999999998</v>
      </c>
      <c r="F22" s="68">
        <f t="shared" si="0"/>
        <v>350.54</v>
      </c>
      <c r="G22" s="67" t="s">
        <v>513</v>
      </c>
    </row>
    <row r="23" spans="1:8" x14ac:dyDescent="0.2">
      <c r="A23" s="687" t="s">
        <v>172</v>
      </c>
      <c r="B23" s="687"/>
      <c r="C23" s="687"/>
      <c r="D23" s="687"/>
      <c r="E23" s="687"/>
      <c r="F23" s="68"/>
    </row>
    <row r="24" spans="1:8" x14ac:dyDescent="0.2">
      <c r="A24" s="69" t="s">
        <v>80</v>
      </c>
      <c r="B24" s="69" t="s">
        <v>506</v>
      </c>
      <c r="C24" s="393" t="s">
        <v>507</v>
      </c>
      <c r="D24" s="69" t="s">
        <v>508</v>
      </c>
      <c r="E24" s="69" t="s">
        <v>509</v>
      </c>
      <c r="F24" s="68"/>
      <c r="H24" s="88"/>
    </row>
    <row r="25" spans="1:8" x14ac:dyDescent="0.2">
      <c r="A25" s="72" t="s">
        <v>173</v>
      </c>
      <c r="B25" s="70" t="s">
        <v>548</v>
      </c>
      <c r="C25" s="71" t="s">
        <v>549</v>
      </c>
      <c r="D25" s="72" t="s">
        <v>528</v>
      </c>
      <c r="E25" s="270">
        <f>((1*1*1*10)+(30.45*0.3*0.4))+((0.8*0.8*0.8*5)+(15*0.3*0.4))+((0.8*0.8*0.8*7)+(20.47*0.3*0.4)+(0.8*0.8*0.8*3)+(18.46*0.3*0.4)+((2+1.5)*1.5/2)*17)</f>
        <v>72.430599999999998</v>
      </c>
      <c r="F25" s="68">
        <f t="shared" si="0"/>
        <v>72.430000000000007</v>
      </c>
      <c r="G25" s="67" t="s">
        <v>513</v>
      </c>
      <c r="H25" s="284"/>
    </row>
    <row r="26" spans="1:8" x14ac:dyDescent="0.2">
      <c r="A26" s="72" t="s">
        <v>177</v>
      </c>
      <c r="B26" s="70" t="s">
        <v>550</v>
      </c>
      <c r="C26" s="71" t="s">
        <v>551</v>
      </c>
      <c r="D26" s="72" t="s">
        <v>98</v>
      </c>
      <c r="E26" s="270">
        <f>((1*1*10)+(30.45*0.3))+((0.8*0.8*5)+(15*0.3))+((0.8*0.8*7)+(20.47*0.3)+(0.8*0.8*3)+(18.46*0.3)+((2+1.5)*1.5/2))</f>
        <v>47.539000000000001</v>
      </c>
      <c r="F26" s="68">
        <f t="shared" si="0"/>
        <v>47.54</v>
      </c>
      <c r="G26" s="67" t="s">
        <v>513</v>
      </c>
      <c r="H26" s="88"/>
    </row>
    <row r="27" spans="1:8" ht="51" x14ac:dyDescent="0.2">
      <c r="A27" s="72" t="s">
        <v>181</v>
      </c>
      <c r="B27" s="71" t="s">
        <v>552</v>
      </c>
      <c r="C27" s="71" t="s">
        <v>553</v>
      </c>
      <c r="D27" s="72" t="s">
        <v>528</v>
      </c>
      <c r="E27" s="79">
        <f>E28</f>
        <v>189.31825000000003</v>
      </c>
      <c r="F27" s="68">
        <f t="shared" si="0"/>
        <v>189.32</v>
      </c>
      <c r="G27" s="67" t="s">
        <v>513</v>
      </c>
      <c r="H27" s="88"/>
    </row>
    <row r="28" spans="1:8" ht="51" x14ac:dyDescent="0.2">
      <c r="A28" s="72" t="s">
        <v>183</v>
      </c>
      <c r="B28" s="344" t="s">
        <v>554</v>
      </c>
      <c r="C28" s="71" t="s">
        <v>553</v>
      </c>
      <c r="D28" s="72" t="s">
        <v>528</v>
      </c>
      <c r="E28" s="79">
        <f>E91*0.2+(9.52*1.5)</f>
        <v>189.31825000000003</v>
      </c>
      <c r="F28" s="68">
        <f t="shared" si="0"/>
        <v>189.32</v>
      </c>
      <c r="G28" s="67" t="s">
        <v>513</v>
      </c>
      <c r="H28" s="88"/>
    </row>
    <row r="29" spans="1:8" x14ac:dyDescent="0.2">
      <c r="A29" s="72" t="s">
        <v>187</v>
      </c>
      <c r="B29" s="70" t="s">
        <v>555</v>
      </c>
      <c r="C29" s="71"/>
      <c r="D29" s="72" t="s">
        <v>528</v>
      </c>
      <c r="E29" s="79">
        <f>E28</f>
        <v>189.31825000000003</v>
      </c>
      <c r="F29" s="68">
        <f t="shared" si="0"/>
        <v>189.32</v>
      </c>
      <c r="G29" s="67" t="s">
        <v>513</v>
      </c>
      <c r="H29" s="88"/>
    </row>
    <row r="30" spans="1:8" x14ac:dyDescent="0.2">
      <c r="A30" s="72" t="s">
        <v>191</v>
      </c>
      <c r="B30" s="343" t="s">
        <v>556</v>
      </c>
      <c r="C30" s="71"/>
      <c r="D30" s="72" t="s">
        <v>528</v>
      </c>
      <c r="E30" s="79">
        <f>E28</f>
        <v>189.31825000000003</v>
      </c>
      <c r="F30" s="68">
        <f t="shared" si="0"/>
        <v>189.32</v>
      </c>
      <c r="G30" s="67" t="s">
        <v>513</v>
      </c>
      <c r="H30" s="88"/>
    </row>
    <row r="31" spans="1:8" x14ac:dyDescent="0.2">
      <c r="A31" s="72" t="s">
        <v>195</v>
      </c>
      <c r="B31" s="74" t="s">
        <v>557</v>
      </c>
      <c r="C31" s="75" t="s">
        <v>558</v>
      </c>
      <c r="D31" s="76" t="s">
        <v>528</v>
      </c>
      <c r="E31" s="283">
        <f>E25/2</f>
        <v>36.215299999999999</v>
      </c>
      <c r="F31" s="68">
        <f t="shared" si="0"/>
        <v>36.22</v>
      </c>
      <c r="G31" s="67" t="s">
        <v>513</v>
      </c>
      <c r="H31" s="284"/>
    </row>
    <row r="32" spans="1:8" x14ac:dyDescent="0.2">
      <c r="A32" s="687" t="s">
        <v>200</v>
      </c>
      <c r="B32" s="687"/>
      <c r="C32" s="687"/>
      <c r="D32" s="687"/>
      <c r="E32" s="687"/>
      <c r="F32" s="68"/>
    </row>
    <row r="33" spans="1:8" x14ac:dyDescent="0.2">
      <c r="A33" s="69" t="s">
        <v>80</v>
      </c>
      <c r="B33" s="69" t="s">
        <v>506</v>
      </c>
      <c r="C33" s="393" t="s">
        <v>507</v>
      </c>
      <c r="D33" s="69" t="s">
        <v>508</v>
      </c>
      <c r="E33" s="69" t="s">
        <v>509</v>
      </c>
      <c r="F33" s="68"/>
    </row>
    <row r="34" spans="1:8" x14ac:dyDescent="0.2">
      <c r="A34" s="72" t="s">
        <v>201</v>
      </c>
      <c r="B34" s="74" t="s">
        <v>559</v>
      </c>
      <c r="C34" s="75" t="str">
        <f>C25</f>
        <v>Volume bloco de concreto</v>
      </c>
      <c r="D34" s="76" t="s">
        <v>528</v>
      </c>
      <c r="E34" s="283">
        <f>E26*0.05</f>
        <v>2.3769500000000003</v>
      </c>
      <c r="F34" s="68">
        <f t="shared" si="0"/>
        <v>2.38</v>
      </c>
      <c r="G34" s="67" t="s">
        <v>513</v>
      </c>
    </row>
    <row r="35" spans="1:8" ht="151.5" customHeight="1" x14ac:dyDescent="0.2">
      <c r="A35" s="72" t="s">
        <v>205</v>
      </c>
      <c r="B35" s="264" t="s">
        <v>560</v>
      </c>
      <c r="C35" s="282" t="s">
        <v>561</v>
      </c>
      <c r="D35" s="86" t="s">
        <v>528</v>
      </c>
      <c r="E35" s="270">
        <f>((0.6*0.6*0.6*10)+(30.45*0.15*0.3))+((0.6*0.6*0.6*5)+(15*0.15*0.3))+((0.6*0.6*0.6*7)+(20.47*0.15*0.3)+(0.6*0.6*0.6*3)+(18.46*0.15*0.3))+31.01</f>
        <v>40.207099999999997</v>
      </c>
      <c r="F35" s="266">
        <f t="shared" si="0"/>
        <v>40.21</v>
      </c>
      <c r="G35" s="267" t="s">
        <v>513</v>
      </c>
      <c r="H35" s="267"/>
    </row>
    <row r="36" spans="1:8" x14ac:dyDescent="0.2">
      <c r="A36" s="86" t="s">
        <v>209</v>
      </c>
      <c r="B36" s="264" t="s">
        <v>562</v>
      </c>
      <c r="C36" s="282" t="s">
        <v>563</v>
      </c>
      <c r="D36" s="86" t="s">
        <v>528</v>
      </c>
      <c r="E36" s="270">
        <f>E35</f>
        <v>40.207099999999997</v>
      </c>
      <c r="F36" s="266">
        <f t="shared" si="0"/>
        <v>40.21</v>
      </c>
      <c r="G36" s="267" t="s">
        <v>513</v>
      </c>
      <c r="H36" s="267"/>
    </row>
    <row r="37" spans="1:8" x14ac:dyDescent="0.2">
      <c r="A37" s="72" t="s">
        <v>209</v>
      </c>
      <c r="B37" s="70" t="s">
        <v>564</v>
      </c>
      <c r="C37" s="71" t="s">
        <v>565</v>
      </c>
      <c r="D37" s="72" t="s">
        <v>512</v>
      </c>
      <c r="E37" s="270">
        <f>((0.8*0.8*4*10)+(30.45*0.3*2))+((0.6*0.6*4*5)+(15*0.3*2))+((0.6*0.6*4*7)+(20.47*0.3*2)+(0.6*0.6*4*3)+(18.46*0.3*2)+210)</f>
        <v>307.82799999999997</v>
      </c>
      <c r="F37" s="68">
        <f t="shared" si="0"/>
        <v>307.83</v>
      </c>
      <c r="G37" s="67" t="s">
        <v>513</v>
      </c>
    </row>
    <row r="38" spans="1:8" x14ac:dyDescent="0.2">
      <c r="A38" s="72" t="s">
        <v>213</v>
      </c>
      <c r="B38" s="70" t="s">
        <v>566</v>
      </c>
      <c r="C38" s="71" t="s">
        <v>567</v>
      </c>
      <c r="D38" s="72" t="s">
        <v>568</v>
      </c>
      <c r="E38" s="79">
        <f>(E35)*0.8*80</f>
        <v>2573.2544000000003</v>
      </c>
      <c r="F38" s="68">
        <f t="shared" si="0"/>
        <v>2573.25</v>
      </c>
      <c r="G38" s="67" t="s">
        <v>513</v>
      </c>
    </row>
    <row r="39" spans="1:8" x14ac:dyDescent="0.2">
      <c r="A39" s="72" t="s">
        <v>217</v>
      </c>
      <c r="B39" s="70" t="s">
        <v>569</v>
      </c>
      <c r="C39" s="71" t="s">
        <v>567</v>
      </c>
      <c r="D39" s="72" t="s">
        <v>568</v>
      </c>
      <c r="E39" s="79">
        <f>(E35)*0.2*80</f>
        <v>643.31360000000006</v>
      </c>
      <c r="F39" s="68">
        <f t="shared" si="0"/>
        <v>643.30999999999995</v>
      </c>
      <c r="G39" s="67" t="s">
        <v>513</v>
      </c>
    </row>
    <row r="40" spans="1:8" x14ac:dyDescent="0.2">
      <c r="A40" s="687" t="s">
        <v>228</v>
      </c>
      <c r="B40" s="687"/>
      <c r="C40" s="687"/>
      <c r="D40" s="687"/>
      <c r="E40" s="687"/>
      <c r="F40" s="68"/>
      <c r="H40" s="88"/>
    </row>
    <row r="41" spans="1:8" x14ac:dyDescent="0.2">
      <c r="A41" s="69" t="s">
        <v>80</v>
      </c>
      <c r="B41" s="69" t="s">
        <v>506</v>
      </c>
      <c r="C41" s="393" t="s">
        <v>507</v>
      </c>
      <c r="D41" s="69" t="s">
        <v>508</v>
      </c>
      <c r="E41" s="69" t="s">
        <v>509</v>
      </c>
      <c r="F41" s="68"/>
      <c r="H41" s="284"/>
    </row>
    <row r="42" spans="1:8" ht="127.5" x14ac:dyDescent="0.2">
      <c r="A42" s="86" t="s">
        <v>229</v>
      </c>
      <c r="B42" s="264" t="s">
        <v>570</v>
      </c>
      <c r="C42" s="282" t="s">
        <v>571</v>
      </c>
      <c r="D42" s="86" t="s">
        <v>528</v>
      </c>
      <c r="E42" s="270">
        <f>((0.25*0.25*3*10)+(30.45*0.15*0.25))+((0.15*0.25*3*5)+(15*0.15*0.25))+((0.15*0.25*3*7)+(20.47*0.15*0.25)+(0.15*0.25*3*3)+(18.46*0.15*0.25))</f>
        <v>6.7267499999999991</v>
      </c>
      <c r="F42" s="266">
        <f t="shared" si="0"/>
        <v>6.73</v>
      </c>
      <c r="G42" s="267" t="s">
        <v>513</v>
      </c>
      <c r="H42" s="88"/>
    </row>
    <row r="43" spans="1:8" x14ac:dyDescent="0.2">
      <c r="A43" s="86" t="s">
        <v>233</v>
      </c>
      <c r="B43" s="70" t="s">
        <v>562</v>
      </c>
      <c r="C43" s="71" t="s">
        <v>572</v>
      </c>
      <c r="D43" s="86" t="s">
        <v>528</v>
      </c>
      <c r="E43" s="270">
        <f>E42</f>
        <v>6.7267499999999991</v>
      </c>
      <c r="F43" s="68">
        <f t="shared" si="0"/>
        <v>6.73</v>
      </c>
      <c r="G43" s="67" t="s">
        <v>513</v>
      </c>
      <c r="H43" s="284"/>
    </row>
    <row r="44" spans="1:8" x14ac:dyDescent="0.2">
      <c r="A44" s="86" t="s">
        <v>233</v>
      </c>
      <c r="B44" s="70" t="s">
        <v>564</v>
      </c>
      <c r="C44" s="71" t="s">
        <v>573</v>
      </c>
      <c r="D44" s="72" t="s">
        <v>512</v>
      </c>
      <c r="E44" s="270">
        <f>((0.25*3*4*10)+(30.45*0.15*2)+(30.45*0.25))+((0.15*3*2*5)+(0.25*3*2*5)+(15*0.15*2)+(15*0.25))+((0.15*3*2*7)+(0.25*3*2*7)+(20.47*0.15*2)+(20.47*0.25)+(0.15*3*2*3)+(0.25*3*2*3)+(18.46*0.15*2)+(18.46*0.25))</f>
        <v>112.40899999999999</v>
      </c>
      <c r="F44" s="68">
        <f t="shared" si="0"/>
        <v>112.41</v>
      </c>
      <c r="G44" s="67" t="s">
        <v>513</v>
      </c>
      <c r="H44" s="284"/>
    </row>
    <row r="45" spans="1:8" x14ac:dyDescent="0.2">
      <c r="A45" s="86" t="s">
        <v>237</v>
      </c>
      <c r="B45" s="70" t="s">
        <v>566</v>
      </c>
      <c r="C45" s="71" t="s">
        <v>567</v>
      </c>
      <c r="D45" s="72" t="s">
        <v>568</v>
      </c>
      <c r="E45" s="79">
        <f>E42*0.8*80</f>
        <v>430.51199999999994</v>
      </c>
      <c r="F45" s="68">
        <f t="shared" si="0"/>
        <v>430.51</v>
      </c>
      <c r="G45" s="67" t="s">
        <v>513</v>
      </c>
      <c r="H45" s="88"/>
    </row>
    <row r="46" spans="1:8" x14ac:dyDescent="0.2">
      <c r="A46" s="86" t="s">
        <v>241</v>
      </c>
      <c r="B46" s="70" t="s">
        <v>569</v>
      </c>
      <c r="C46" s="71" t="s">
        <v>574</v>
      </c>
      <c r="D46" s="72" t="s">
        <v>568</v>
      </c>
      <c r="E46" s="79">
        <f>E42*0.2*80</f>
        <v>107.62799999999999</v>
      </c>
      <c r="F46" s="68">
        <f t="shared" si="0"/>
        <v>107.63</v>
      </c>
      <c r="G46" s="67" t="s">
        <v>513</v>
      </c>
      <c r="H46" s="284"/>
    </row>
    <row r="47" spans="1:8" x14ac:dyDescent="0.2">
      <c r="A47" s="684" t="s">
        <v>575</v>
      </c>
      <c r="B47" s="684"/>
      <c r="C47" s="687"/>
      <c r="D47" s="687"/>
      <c r="E47" s="687"/>
      <c r="F47" s="68"/>
    </row>
    <row r="48" spans="1:8" x14ac:dyDescent="0.2">
      <c r="A48" s="69" t="s">
        <v>80</v>
      </c>
      <c r="B48" s="69" t="s">
        <v>506</v>
      </c>
      <c r="C48" s="393" t="s">
        <v>507</v>
      </c>
      <c r="D48" s="69" t="s">
        <v>508</v>
      </c>
      <c r="E48" s="69" t="s">
        <v>509</v>
      </c>
      <c r="F48" s="68"/>
      <c r="H48" s="262"/>
    </row>
    <row r="49" spans="1:8" x14ac:dyDescent="0.2">
      <c r="A49" s="72" t="s">
        <v>245</v>
      </c>
      <c r="B49" s="70" t="s">
        <v>576</v>
      </c>
      <c r="C49" s="71" t="s">
        <v>577</v>
      </c>
      <c r="D49" s="72" t="s">
        <v>512</v>
      </c>
      <c r="E49" s="79">
        <v>0</v>
      </c>
      <c r="F49" s="68">
        <f t="shared" si="0"/>
        <v>0</v>
      </c>
      <c r="G49" s="67" t="s">
        <v>513</v>
      </c>
      <c r="H49" s="263"/>
    </row>
    <row r="50" spans="1:8" x14ac:dyDescent="0.2">
      <c r="A50" s="72" t="s">
        <v>578</v>
      </c>
      <c r="B50" s="70" t="s">
        <v>579</v>
      </c>
      <c r="C50" s="71" t="s">
        <v>580</v>
      </c>
      <c r="D50" s="72" t="s">
        <v>512</v>
      </c>
      <c r="E50" s="79">
        <f>E94+(E37*0.75)</f>
        <v>308.61099999999999</v>
      </c>
      <c r="F50" s="68">
        <f t="shared" si="0"/>
        <v>308.61</v>
      </c>
      <c r="G50" s="67" t="s">
        <v>513</v>
      </c>
      <c r="H50" s="263"/>
    </row>
    <row r="51" spans="1:8" x14ac:dyDescent="0.2">
      <c r="A51" s="72" t="s">
        <v>581</v>
      </c>
      <c r="B51" s="70" t="s">
        <v>582</v>
      </c>
      <c r="C51" s="71" t="s">
        <v>577</v>
      </c>
      <c r="D51" s="72" t="s">
        <v>512</v>
      </c>
      <c r="E51" s="79">
        <v>0</v>
      </c>
      <c r="F51" s="68">
        <f t="shared" si="0"/>
        <v>0</v>
      </c>
      <c r="G51" s="67" t="s">
        <v>513</v>
      </c>
      <c r="H51" s="263"/>
    </row>
    <row r="52" spans="1:8" x14ac:dyDescent="0.2">
      <c r="A52" s="72" t="s">
        <v>583</v>
      </c>
      <c r="B52" s="70" t="s">
        <v>584</v>
      </c>
      <c r="C52" s="71" t="s">
        <v>577</v>
      </c>
      <c r="D52" s="72" t="s">
        <v>512</v>
      </c>
      <c r="E52" s="79">
        <v>0</v>
      </c>
      <c r="F52" s="68">
        <f t="shared" si="0"/>
        <v>0</v>
      </c>
      <c r="G52" s="67" t="s">
        <v>513</v>
      </c>
      <c r="H52" s="263"/>
    </row>
    <row r="53" spans="1:8" x14ac:dyDescent="0.2">
      <c r="A53" s="687" t="s">
        <v>250</v>
      </c>
      <c r="B53" s="687"/>
      <c r="C53" s="687"/>
      <c r="D53" s="687"/>
      <c r="E53" s="687"/>
      <c r="F53" s="68"/>
    </row>
    <row r="54" spans="1:8" x14ac:dyDescent="0.2">
      <c r="A54" s="69" t="s">
        <v>80</v>
      </c>
      <c r="B54" s="69" t="s">
        <v>506</v>
      </c>
      <c r="C54" s="393" t="s">
        <v>507</v>
      </c>
      <c r="D54" s="69" t="s">
        <v>508</v>
      </c>
      <c r="E54" s="69" t="s">
        <v>509</v>
      </c>
      <c r="F54" s="68"/>
    </row>
    <row r="55" spans="1:8" ht="89.25" x14ac:dyDescent="0.2">
      <c r="A55" s="86" t="s">
        <v>251</v>
      </c>
      <c r="B55" s="264" t="s">
        <v>585</v>
      </c>
      <c r="C55" s="268" t="s">
        <v>586</v>
      </c>
      <c r="D55" s="86" t="s">
        <v>512</v>
      </c>
      <c r="E55" s="270">
        <f>64.86+18+11.61+20.31+39.75+146.06</f>
        <v>300.59000000000003</v>
      </c>
      <c r="F55" s="266">
        <f t="shared" si="0"/>
        <v>300.58999999999997</v>
      </c>
      <c r="G55" s="267" t="s">
        <v>513</v>
      </c>
    </row>
    <row r="56" spans="1:8" x14ac:dyDescent="0.2">
      <c r="A56" s="86" t="s">
        <v>255</v>
      </c>
      <c r="B56" s="70" t="s">
        <v>587</v>
      </c>
      <c r="C56" s="71" t="s">
        <v>588</v>
      </c>
      <c r="D56" s="72" t="s">
        <v>512</v>
      </c>
      <c r="E56" s="73">
        <f>5.125*3</f>
        <v>15.375</v>
      </c>
      <c r="F56" s="68">
        <f t="shared" si="0"/>
        <v>15.38</v>
      </c>
      <c r="G56" s="67" t="s">
        <v>513</v>
      </c>
    </row>
    <row r="57" spans="1:8" x14ac:dyDescent="0.2">
      <c r="A57" s="86" t="s">
        <v>259</v>
      </c>
      <c r="B57" s="250" t="s">
        <v>589</v>
      </c>
      <c r="C57" s="251" t="s">
        <v>590</v>
      </c>
      <c r="D57" s="249" t="s">
        <v>119</v>
      </c>
      <c r="E57" s="252">
        <f>(E77*2.9+E78*1.9+E79*1.2)*2*0.1*0.12</f>
        <v>4.7304000000000013</v>
      </c>
      <c r="F57" s="279">
        <f t="shared" si="0"/>
        <v>4.7300000000000004</v>
      </c>
      <c r="G57" s="253" t="s">
        <v>513</v>
      </c>
    </row>
    <row r="58" spans="1:8" x14ac:dyDescent="0.2">
      <c r="A58" s="686" t="s">
        <v>264</v>
      </c>
      <c r="B58" s="686"/>
      <c r="C58" s="686"/>
      <c r="D58" s="686"/>
      <c r="E58" s="686"/>
      <c r="F58" s="68"/>
    </row>
    <row r="59" spans="1:8" x14ac:dyDescent="0.2">
      <c r="A59" s="69" t="s">
        <v>80</v>
      </c>
      <c r="B59" s="69" t="s">
        <v>506</v>
      </c>
      <c r="C59" s="393" t="s">
        <v>507</v>
      </c>
      <c r="D59" s="69" t="s">
        <v>508</v>
      </c>
      <c r="E59" s="69" t="s">
        <v>509</v>
      </c>
      <c r="F59" s="68"/>
    </row>
    <row r="60" spans="1:8" x14ac:dyDescent="0.2">
      <c r="A60" s="72" t="s">
        <v>265</v>
      </c>
      <c r="B60" s="70" t="s">
        <v>591</v>
      </c>
      <c r="C60" s="71" t="s">
        <v>592</v>
      </c>
      <c r="D60" s="72" t="s">
        <v>98</v>
      </c>
      <c r="E60" s="73">
        <f>(1423.76+32.56)</f>
        <v>1456.32</v>
      </c>
      <c r="F60" s="68">
        <f t="shared" si="0"/>
        <v>1456.32</v>
      </c>
      <c r="G60" s="67" t="s">
        <v>513</v>
      </c>
    </row>
    <row r="61" spans="1:8" x14ac:dyDescent="0.2">
      <c r="A61" s="72" t="s">
        <v>269</v>
      </c>
      <c r="B61" s="70" t="s">
        <v>593</v>
      </c>
      <c r="C61" s="71" t="s">
        <v>592</v>
      </c>
      <c r="D61" s="72" t="s">
        <v>98</v>
      </c>
      <c r="E61" s="73">
        <f>(1423.76+32.56)</f>
        <v>1456.32</v>
      </c>
      <c r="F61" s="68">
        <f t="shared" si="0"/>
        <v>1456.32</v>
      </c>
      <c r="G61" s="67" t="s">
        <v>513</v>
      </c>
    </row>
    <row r="62" spans="1:8" x14ac:dyDescent="0.2">
      <c r="A62" s="72" t="s">
        <v>271</v>
      </c>
      <c r="B62" s="70" t="s">
        <v>594</v>
      </c>
      <c r="C62" s="71" t="s">
        <v>595</v>
      </c>
      <c r="D62" s="72" t="s">
        <v>275</v>
      </c>
      <c r="E62" s="73">
        <v>147.85</v>
      </c>
      <c r="F62" s="68">
        <f t="shared" si="0"/>
        <v>147.85</v>
      </c>
      <c r="G62" s="67" t="s">
        <v>513</v>
      </c>
    </row>
    <row r="63" spans="1:8" x14ac:dyDescent="0.2">
      <c r="A63" s="72" t="s">
        <v>276</v>
      </c>
      <c r="B63" s="70" t="s">
        <v>596</v>
      </c>
      <c r="C63" s="71" t="s">
        <v>595</v>
      </c>
      <c r="D63" s="72" t="s">
        <v>275</v>
      </c>
      <c r="E63" s="73">
        <v>10.8</v>
      </c>
      <c r="F63" s="68">
        <f t="shared" si="0"/>
        <v>10.8</v>
      </c>
      <c r="G63" s="67" t="s">
        <v>513</v>
      </c>
    </row>
    <row r="64" spans="1:8" x14ac:dyDescent="0.2">
      <c r="A64" s="72" t="s">
        <v>280</v>
      </c>
      <c r="B64" s="70" t="s">
        <v>597</v>
      </c>
      <c r="C64" s="71" t="s">
        <v>595</v>
      </c>
      <c r="D64" s="72" t="s">
        <v>275</v>
      </c>
      <c r="E64" s="73">
        <v>10.8</v>
      </c>
      <c r="F64" s="68">
        <f t="shared" si="0"/>
        <v>10.8</v>
      </c>
      <c r="G64" s="67" t="s">
        <v>513</v>
      </c>
    </row>
    <row r="65" spans="1:9" x14ac:dyDescent="0.2">
      <c r="A65" s="72" t="s">
        <v>284</v>
      </c>
      <c r="B65" s="70" t="s">
        <v>598</v>
      </c>
      <c r="C65" s="71" t="s">
        <v>599</v>
      </c>
      <c r="D65" s="72" t="s">
        <v>98</v>
      </c>
      <c r="E65" s="73">
        <f>E60</f>
        <v>1456.32</v>
      </c>
      <c r="F65" s="68">
        <f t="shared" si="0"/>
        <v>1456.32</v>
      </c>
      <c r="G65" s="67" t="s">
        <v>513</v>
      </c>
    </row>
    <row r="66" spans="1:9" x14ac:dyDescent="0.2">
      <c r="A66" s="72" t="s">
        <v>286</v>
      </c>
      <c r="B66" s="70" t="s">
        <v>600</v>
      </c>
      <c r="C66" s="71"/>
      <c r="D66" s="72" t="s">
        <v>275</v>
      </c>
      <c r="E66" s="73">
        <v>343.91</v>
      </c>
      <c r="F66" s="68">
        <f t="shared" si="0"/>
        <v>343.91</v>
      </c>
      <c r="G66" s="67" t="s">
        <v>513</v>
      </c>
    </row>
    <row r="67" spans="1:9" x14ac:dyDescent="0.2">
      <c r="A67" s="72" t="s">
        <v>288</v>
      </c>
      <c r="B67" s="70" t="s">
        <v>601</v>
      </c>
      <c r="C67" s="71"/>
      <c r="D67" s="78" t="s">
        <v>110</v>
      </c>
      <c r="E67" s="73">
        <f>3*11</f>
        <v>33</v>
      </c>
      <c r="F67" s="68">
        <f t="shared" si="0"/>
        <v>33</v>
      </c>
      <c r="G67" s="67" t="s">
        <v>513</v>
      </c>
    </row>
    <row r="68" spans="1:9" ht="13.5" thickBot="1" x14ac:dyDescent="0.25">
      <c r="A68" s="72" t="s">
        <v>292</v>
      </c>
      <c r="B68" s="70" t="s">
        <v>602</v>
      </c>
      <c r="C68" s="71"/>
      <c r="D68" s="72" t="s">
        <v>275</v>
      </c>
      <c r="E68" s="73">
        <f>11*3.5</f>
        <v>38.5</v>
      </c>
      <c r="F68" s="68">
        <f t="shared" si="0"/>
        <v>38.5</v>
      </c>
      <c r="G68" s="67" t="s">
        <v>513</v>
      </c>
    </row>
    <row r="69" spans="1:9" x14ac:dyDescent="0.2">
      <c r="A69" s="686" t="s">
        <v>297</v>
      </c>
      <c r="B69" s="686"/>
      <c r="C69" s="686"/>
      <c r="D69" s="686"/>
      <c r="E69" s="686"/>
      <c r="F69" s="68"/>
      <c r="H69" s="81" t="s">
        <v>603</v>
      </c>
    </row>
    <row r="70" spans="1:9" ht="13.5" thickBot="1" x14ac:dyDescent="0.25">
      <c r="A70" s="69" t="s">
        <v>80</v>
      </c>
      <c r="B70" s="69" t="s">
        <v>506</v>
      </c>
      <c r="C70" s="393" t="s">
        <v>507</v>
      </c>
      <c r="D70" s="69" t="s">
        <v>508</v>
      </c>
      <c r="E70" s="69" t="s">
        <v>509</v>
      </c>
      <c r="F70" s="68"/>
      <c r="H70" s="82">
        <v>3</v>
      </c>
    </row>
    <row r="71" spans="1:9" x14ac:dyDescent="0.2">
      <c r="A71" s="72" t="s">
        <v>298</v>
      </c>
      <c r="B71" s="70" t="s">
        <v>603</v>
      </c>
      <c r="C71" s="71" t="s">
        <v>604</v>
      </c>
      <c r="D71" s="72" t="s">
        <v>512</v>
      </c>
      <c r="E71" s="79">
        <f>H70*0.9*2.1</f>
        <v>5.6700000000000008</v>
      </c>
      <c r="F71" s="68">
        <f t="shared" si="0"/>
        <v>5.67</v>
      </c>
      <c r="G71" s="67" t="s">
        <v>513</v>
      </c>
      <c r="H71" s="81" t="s">
        <v>605</v>
      </c>
      <c r="I71" s="67" t="s">
        <v>513</v>
      </c>
    </row>
    <row r="72" spans="1:9" ht="26.25" thickBot="1" x14ac:dyDescent="0.25">
      <c r="A72" s="72" t="s">
        <v>300</v>
      </c>
      <c r="B72" s="70" t="s">
        <v>606</v>
      </c>
      <c r="C72" s="71" t="s">
        <v>607</v>
      </c>
      <c r="D72" s="72" t="s">
        <v>512</v>
      </c>
      <c r="E72" s="79">
        <f>H72*0.9*2.1</f>
        <v>24.570000000000004</v>
      </c>
      <c r="F72" s="68">
        <f t="shared" si="0"/>
        <v>24.57</v>
      </c>
      <c r="G72" s="67" t="s">
        <v>513</v>
      </c>
      <c r="H72" s="82">
        <v>13</v>
      </c>
      <c r="I72" s="67" t="s">
        <v>513</v>
      </c>
    </row>
    <row r="73" spans="1:9" ht="38.25" x14ac:dyDescent="0.2">
      <c r="A73" s="72" t="s">
        <v>302</v>
      </c>
      <c r="B73" s="70" t="s">
        <v>608</v>
      </c>
      <c r="C73" s="71" t="s">
        <v>609</v>
      </c>
      <c r="D73" s="72" t="s">
        <v>512</v>
      </c>
      <c r="E73" s="79">
        <f>H76*0.8*2.1</f>
        <v>15.120000000000001</v>
      </c>
      <c r="F73" s="68">
        <f t="shared" si="0"/>
        <v>15.12</v>
      </c>
      <c r="G73" s="67" t="s">
        <v>513</v>
      </c>
      <c r="H73" s="81" t="s">
        <v>610</v>
      </c>
      <c r="I73" s="67" t="s">
        <v>513</v>
      </c>
    </row>
    <row r="74" spans="1:9" ht="13.5" thickBot="1" x14ac:dyDescent="0.25">
      <c r="A74" s="72" t="s">
        <v>304</v>
      </c>
      <c r="B74" s="70" t="s">
        <v>611</v>
      </c>
      <c r="C74" s="71"/>
      <c r="D74" s="72" t="s">
        <v>512</v>
      </c>
      <c r="E74" s="79">
        <f>H78*0.7*2.1</f>
        <v>0</v>
      </c>
      <c r="F74" s="68">
        <f t="shared" si="0"/>
        <v>0</v>
      </c>
      <c r="G74" s="67" t="s">
        <v>513</v>
      </c>
      <c r="H74" s="82">
        <v>8</v>
      </c>
      <c r="I74" s="67" t="s">
        <v>513</v>
      </c>
    </row>
    <row r="75" spans="1:9" x14ac:dyDescent="0.2">
      <c r="A75" s="72" t="s">
        <v>306</v>
      </c>
      <c r="B75" s="70" t="s">
        <v>612</v>
      </c>
      <c r="C75" s="71" t="s">
        <v>613</v>
      </c>
      <c r="D75" s="78" t="s">
        <v>110</v>
      </c>
      <c r="E75" s="73">
        <v>2</v>
      </c>
      <c r="F75" s="68">
        <f t="shared" si="0"/>
        <v>2</v>
      </c>
      <c r="G75" s="67" t="s">
        <v>513</v>
      </c>
      <c r="H75" s="81" t="s">
        <v>608</v>
      </c>
      <c r="I75" s="67" t="s">
        <v>513</v>
      </c>
    </row>
    <row r="76" spans="1:9" ht="13.5" thickBot="1" x14ac:dyDescent="0.25">
      <c r="A76" s="72" t="s">
        <v>308</v>
      </c>
      <c r="B76" s="70" t="s">
        <v>614</v>
      </c>
      <c r="C76" s="71" t="s">
        <v>615</v>
      </c>
      <c r="D76" s="72" t="s">
        <v>98</v>
      </c>
      <c r="E76" s="73">
        <f>H74*0.6*1.7</f>
        <v>8.16</v>
      </c>
      <c r="F76" s="68">
        <f t="shared" si="0"/>
        <v>8.16</v>
      </c>
      <c r="G76" s="67" t="s">
        <v>513</v>
      </c>
      <c r="H76" s="82">
        <v>9</v>
      </c>
      <c r="I76" s="67" t="s">
        <v>513</v>
      </c>
    </row>
    <row r="77" spans="1:9" ht="25.5" x14ac:dyDescent="0.2">
      <c r="A77" s="72" t="s">
        <v>310</v>
      </c>
      <c r="B77" s="70" t="s">
        <v>616</v>
      </c>
      <c r="C77" s="71" t="s">
        <v>617</v>
      </c>
      <c r="D77" s="78" t="s">
        <v>110</v>
      </c>
      <c r="E77" s="73">
        <f>20+2+1+2+2</f>
        <v>27</v>
      </c>
      <c r="F77" s="68">
        <f t="shared" si="0"/>
        <v>27</v>
      </c>
      <c r="G77" s="67" t="s">
        <v>513</v>
      </c>
      <c r="H77" s="81" t="s">
        <v>618</v>
      </c>
      <c r="I77" s="67" t="s">
        <v>513</v>
      </c>
    </row>
    <row r="78" spans="1:9" ht="45" customHeight="1" thickBot="1" x14ac:dyDescent="0.25">
      <c r="A78" s="72" t="s">
        <v>312</v>
      </c>
      <c r="B78" s="70" t="s">
        <v>619</v>
      </c>
      <c r="C78" s="71" t="s">
        <v>620</v>
      </c>
      <c r="D78" s="78" t="s">
        <v>110</v>
      </c>
      <c r="E78" s="73">
        <f>1+6+40+2+1+2+2+4+1+1</f>
        <v>60</v>
      </c>
      <c r="F78" s="68">
        <f t="shared" si="0"/>
        <v>60</v>
      </c>
      <c r="G78" s="67" t="s">
        <v>513</v>
      </c>
      <c r="H78" s="82">
        <v>0</v>
      </c>
      <c r="I78" s="67" t="s">
        <v>513</v>
      </c>
    </row>
    <row r="79" spans="1:9" x14ac:dyDescent="0.2">
      <c r="A79" s="72" t="s">
        <v>621</v>
      </c>
      <c r="B79" s="70" t="s">
        <v>622</v>
      </c>
      <c r="C79" s="71" t="s">
        <v>623</v>
      </c>
      <c r="D79" s="78" t="s">
        <v>110</v>
      </c>
      <c r="E79" s="73">
        <f>2+2</f>
        <v>4</v>
      </c>
      <c r="F79" s="68">
        <f t="shared" ref="F79:F136" si="1">ROUND(E79,2)</f>
        <v>4</v>
      </c>
      <c r="G79" s="67" t="s">
        <v>513</v>
      </c>
    </row>
    <row r="80" spans="1:9" x14ac:dyDescent="0.2">
      <c r="A80" s="686" t="s">
        <v>315</v>
      </c>
      <c r="B80" s="686"/>
      <c r="C80" s="686"/>
      <c r="D80" s="686"/>
      <c r="E80" s="686"/>
      <c r="F80" s="68"/>
    </row>
    <row r="81" spans="1:9" x14ac:dyDescent="0.2">
      <c r="A81" s="69" t="s">
        <v>80</v>
      </c>
      <c r="B81" s="69" t="s">
        <v>506</v>
      </c>
      <c r="C81" s="393" t="s">
        <v>507</v>
      </c>
      <c r="D81" s="69" t="s">
        <v>508</v>
      </c>
      <c r="E81" s="69" t="s">
        <v>509</v>
      </c>
      <c r="F81" s="68"/>
    </row>
    <row r="82" spans="1:9" x14ac:dyDescent="0.2">
      <c r="A82" s="249" t="s">
        <v>316</v>
      </c>
      <c r="B82" s="250" t="s">
        <v>624</v>
      </c>
      <c r="C82" s="251" t="s">
        <v>625</v>
      </c>
      <c r="D82" s="249" t="s">
        <v>512</v>
      </c>
      <c r="E82" s="252">
        <f>(E55+E56)*2+E17</f>
        <v>1091.326</v>
      </c>
      <c r="F82" s="68">
        <f t="shared" si="1"/>
        <v>1091.33</v>
      </c>
      <c r="G82" s="67" t="s">
        <v>513</v>
      </c>
    </row>
    <row r="83" spans="1:9" x14ac:dyDescent="0.2">
      <c r="A83" s="249" t="s">
        <v>320</v>
      </c>
      <c r="B83" s="250" t="s">
        <v>626</v>
      </c>
      <c r="C83" s="251" t="s">
        <v>625</v>
      </c>
      <c r="D83" s="249" t="s">
        <v>512</v>
      </c>
      <c r="E83" s="252">
        <f>E82</f>
        <v>1091.326</v>
      </c>
      <c r="F83" s="68">
        <f t="shared" si="1"/>
        <v>1091.33</v>
      </c>
      <c r="G83" s="67" t="s">
        <v>513</v>
      </c>
    </row>
    <row r="84" spans="1:9" ht="25.5" x14ac:dyDescent="0.2">
      <c r="A84" s="249" t="s">
        <v>324</v>
      </c>
      <c r="B84" s="70" t="s">
        <v>627</v>
      </c>
      <c r="C84" s="71" t="s">
        <v>628</v>
      </c>
      <c r="D84" s="72" t="s">
        <v>512</v>
      </c>
      <c r="E84" s="73">
        <f>(6.8*2+19.5*2+6.47*2)*2.2+(20+10+8)*3</f>
        <v>258.18799999999999</v>
      </c>
      <c r="F84" s="68">
        <f t="shared" si="1"/>
        <v>258.19</v>
      </c>
      <c r="G84" s="67" t="s">
        <v>513</v>
      </c>
    </row>
    <row r="85" spans="1:9" ht="25.5" x14ac:dyDescent="0.2">
      <c r="A85" s="249" t="s">
        <v>328</v>
      </c>
      <c r="B85" s="70" t="s">
        <v>629</v>
      </c>
      <c r="C85" s="71" t="s">
        <v>628</v>
      </c>
      <c r="D85" s="72" t="s">
        <v>512</v>
      </c>
      <c r="E85" s="73">
        <f>E84</f>
        <v>258.18799999999999</v>
      </c>
      <c r="F85" s="68">
        <f t="shared" si="1"/>
        <v>258.19</v>
      </c>
      <c r="G85" s="67" t="s">
        <v>513</v>
      </c>
    </row>
    <row r="86" spans="1:9" x14ac:dyDescent="0.2">
      <c r="A86" s="249" t="s">
        <v>332</v>
      </c>
      <c r="B86" s="70" t="s">
        <v>630</v>
      </c>
      <c r="C86" s="71" t="s">
        <v>631</v>
      </c>
      <c r="D86" s="72" t="s">
        <v>632</v>
      </c>
      <c r="E86" s="73">
        <v>12</v>
      </c>
      <c r="F86" s="68">
        <f t="shared" si="1"/>
        <v>12</v>
      </c>
      <c r="G86" s="67" t="s">
        <v>513</v>
      </c>
    </row>
    <row r="87" spans="1:9" ht="25.5" x14ac:dyDescent="0.2">
      <c r="A87" s="249" t="s">
        <v>336</v>
      </c>
      <c r="B87" s="248" t="s">
        <v>633</v>
      </c>
      <c r="C87" s="71" t="s">
        <v>634</v>
      </c>
      <c r="D87" s="72" t="s">
        <v>512</v>
      </c>
      <c r="E87" s="73">
        <v>30</v>
      </c>
      <c r="F87" s="68">
        <f t="shared" si="1"/>
        <v>30</v>
      </c>
      <c r="G87" s="67" t="s">
        <v>513</v>
      </c>
    </row>
    <row r="88" spans="1:9" x14ac:dyDescent="0.2">
      <c r="A88" s="687" t="s">
        <v>341</v>
      </c>
      <c r="B88" s="687"/>
      <c r="C88" s="687"/>
      <c r="D88" s="687"/>
      <c r="E88" s="687"/>
      <c r="F88" s="68"/>
      <c r="H88" s="83"/>
    </row>
    <row r="89" spans="1:9" x14ac:dyDescent="0.2">
      <c r="A89" s="69" t="s">
        <v>80</v>
      </c>
      <c r="B89" s="69" t="s">
        <v>506</v>
      </c>
      <c r="C89" s="393" t="s">
        <v>507</v>
      </c>
      <c r="D89" s="69" t="s">
        <v>508</v>
      </c>
      <c r="E89" s="69" t="s">
        <v>509</v>
      </c>
      <c r="F89" s="68"/>
    </row>
    <row r="90" spans="1:9" x14ac:dyDescent="0.2">
      <c r="A90" s="273" t="s">
        <v>342</v>
      </c>
      <c r="B90" s="274" t="s">
        <v>635</v>
      </c>
      <c r="C90" s="275" t="s">
        <v>636</v>
      </c>
      <c r="D90" s="273" t="s">
        <v>512</v>
      </c>
      <c r="E90" s="276">
        <f>E91+E94</f>
        <v>952.93125000000009</v>
      </c>
      <c r="F90" s="266">
        <f t="shared" si="1"/>
        <v>952.93</v>
      </c>
      <c r="G90" s="267" t="s">
        <v>513</v>
      </c>
    </row>
    <row r="91" spans="1:9" ht="102" x14ac:dyDescent="0.2">
      <c r="A91" s="273" t="s">
        <v>346</v>
      </c>
      <c r="B91" s="274" t="s">
        <v>637</v>
      </c>
      <c r="C91" s="277" t="s">
        <v>638</v>
      </c>
      <c r="D91" s="273" t="s">
        <v>512</v>
      </c>
      <c r="E91" s="276">
        <f>(90.54*1.95)+(6.3*3.87)+(81.03*1.95)+(3.25*3.97)+(24.475*1.95)+30.97+55.34+30.24+47.7+14.31+7.74+14.89+41.2+50.08+48+115.15</f>
        <v>875.19125000000008</v>
      </c>
      <c r="F91" s="266">
        <f t="shared" si="1"/>
        <v>875.19</v>
      </c>
      <c r="G91" s="267" t="s">
        <v>513</v>
      </c>
    </row>
    <row r="92" spans="1:9" ht="25.5" x14ac:dyDescent="0.2">
      <c r="A92" s="273" t="s">
        <v>350</v>
      </c>
      <c r="B92" s="278" t="s">
        <v>639</v>
      </c>
      <c r="C92" s="275" t="s">
        <v>640</v>
      </c>
      <c r="D92" s="273" t="s">
        <v>512</v>
      </c>
      <c r="E92" s="276">
        <f>86.67+(6.3*2)+77.16+24.475+10+35.52+24.8+19.5+27.9+11.74+15.44+27.78+28.5+28+(16.45*3)</f>
        <v>479.43500000000006</v>
      </c>
      <c r="F92" s="266">
        <f t="shared" si="1"/>
        <v>479.44</v>
      </c>
      <c r="G92" s="267" t="s">
        <v>513</v>
      </c>
    </row>
    <row r="93" spans="1:9" ht="25.5" x14ac:dyDescent="0.2">
      <c r="A93" s="273" t="s">
        <v>354</v>
      </c>
      <c r="B93" s="274" t="s">
        <v>641</v>
      </c>
      <c r="C93" s="275" t="s">
        <v>642</v>
      </c>
      <c r="D93" s="273" t="s">
        <v>512</v>
      </c>
      <c r="E93" s="276">
        <f>E94</f>
        <v>77.739999999999995</v>
      </c>
      <c r="F93" s="266">
        <f t="shared" si="1"/>
        <v>77.739999999999995</v>
      </c>
      <c r="G93" s="267" t="s">
        <v>513</v>
      </c>
    </row>
    <row r="94" spans="1:9" ht="25.5" x14ac:dyDescent="0.2">
      <c r="A94" s="273" t="s">
        <v>358</v>
      </c>
      <c r="B94" s="274" t="s">
        <v>643</v>
      </c>
      <c r="C94" s="275" t="s">
        <v>642</v>
      </c>
      <c r="D94" s="273" t="s">
        <v>644</v>
      </c>
      <c r="E94" s="276">
        <f>(2.55*2)+(17.38*2)+(2.88*2)+22.12+6+4</f>
        <v>77.739999999999995</v>
      </c>
      <c r="F94" s="266">
        <f t="shared" si="1"/>
        <v>77.739999999999995</v>
      </c>
      <c r="G94" s="267" t="s">
        <v>513</v>
      </c>
      <c r="I94" s="83"/>
    </row>
    <row r="95" spans="1:9" ht="114.75" x14ac:dyDescent="0.2">
      <c r="A95" s="273" t="s">
        <v>358</v>
      </c>
      <c r="B95" s="274" t="s">
        <v>645</v>
      </c>
      <c r="C95" s="275" t="s">
        <v>646</v>
      </c>
      <c r="D95" s="273" t="s">
        <v>644</v>
      </c>
      <c r="E95" s="276">
        <f>(2.55*2)+(17.38*2)+(2.88*2)+22.12+6+4</f>
        <v>77.739999999999995</v>
      </c>
      <c r="F95" s="266">
        <f t="shared" si="1"/>
        <v>77.739999999999995</v>
      </c>
      <c r="G95" s="267" t="s">
        <v>513</v>
      </c>
      <c r="I95" s="83"/>
    </row>
    <row r="96" spans="1:9" ht="25.5" x14ac:dyDescent="0.2">
      <c r="A96" s="273" t="s">
        <v>362</v>
      </c>
      <c r="B96" s="274" t="s">
        <v>647</v>
      </c>
      <c r="C96" s="275" t="s">
        <v>648</v>
      </c>
      <c r="D96" s="273" t="s">
        <v>275</v>
      </c>
      <c r="E96" s="276">
        <v>35</v>
      </c>
      <c r="F96" s="266">
        <f>ROUND(E96,2)</f>
        <v>35</v>
      </c>
      <c r="G96" s="267" t="s">
        <v>513</v>
      </c>
    </row>
    <row r="97" spans="1:9" x14ac:dyDescent="0.2">
      <c r="A97" s="273" t="s">
        <v>366</v>
      </c>
      <c r="B97" s="274" t="s">
        <v>649</v>
      </c>
      <c r="C97" s="275" t="s">
        <v>650</v>
      </c>
      <c r="D97" s="273" t="s">
        <v>644</v>
      </c>
      <c r="E97" s="276">
        <f>(48*8)+14.1+33</f>
        <v>431.1</v>
      </c>
      <c r="F97" s="266">
        <f t="shared" si="1"/>
        <v>431.1</v>
      </c>
      <c r="G97" s="267" t="s">
        <v>513</v>
      </c>
      <c r="I97" s="83"/>
    </row>
    <row r="98" spans="1:9" x14ac:dyDescent="0.2">
      <c r="A98" s="687" t="s">
        <v>375</v>
      </c>
      <c r="B98" s="687"/>
      <c r="C98" s="687"/>
      <c r="D98" s="687"/>
      <c r="E98" s="687"/>
      <c r="F98" s="68"/>
    </row>
    <row r="99" spans="1:9" x14ac:dyDescent="0.2">
      <c r="A99" s="69" t="s">
        <v>80</v>
      </c>
      <c r="B99" s="69" t="s">
        <v>506</v>
      </c>
      <c r="C99" s="393" t="s">
        <v>507</v>
      </c>
      <c r="D99" s="69" t="s">
        <v>508</v>
      </c>
      <c r="E99" s="69" t="s">
        <v>509</v>
      </c>
      <c r="F99" s="68"/>
    </row>
    <row r="100" spans="1:9" x14ac:dyDescent="0.2">
      <c r="A100" s="72" t="s">
        <v>376</v>
      </c>
      <c r="B100" s="70" t="s">
        <v>651</v>
      </c>
      <c r="C100" s="71" t="s">
        <v>652</v>
      </c>
      <c r="D100" s="72" t="s">
        <v>98</v>
      </c>
      <c r="E100" s="73">
        <f>E60</f>
        <v>1456.32</v>
      </c>
      <c r="F100" s="68">
        <f t="shared" si="1"/>
        <v>1456.32</v>
      </c>
      <c r="G100" s="67" t="s">
        <v>513</v>
      </c>
    </row>
    <row r="101" spans="1:9" x14ac:dyDescent="0.2">
      <c r="A101" s="72" t="s">
        <v>380</v>
      </c>
      <c r="B101" s="70" t="s">
        <v>653</v>
      </c>
      <c r="C101" s="71" t="s">
        <v>654</v>
      </c>
      <c r="D101" s="72" t="s">
        <v>98</v>
      </c>
      <c r="E101" s="79">
        <f>(3.375*2+1.3*6)*1.8+(2*0.7)*1+(0.7*0.6*2) - (0.6*1.7*8)</f>
        <v>20.27</v>
      </c>
      <c r="F101" s="68">
        <f t="shared" si="1"/>
        <v>20.27</v>
      </c>
      <c r="G101" s="67" t="s">
        <v>513</v>
      </c>
    </row>
    <row r="102" spans="1:9" x14ac:dyDescent="0.2">
      <c r="A102" s="686" t="s">
        <v>385</v>
      </c>
      <c r="B102" s="686"/>
      <c r="C102" s="686"/>
      <c r="D102" s="686"/>
      <c r="E102" s="686"/>
      <c r="F102" s="68"/>
    </row>
    <row r="103" spans="1:9" x14ac:dyDescent="0.2">
      <c r="A103" s="69" t="s">
        <v>80</v>
      </c>
      <c r="B103" s="69" t="s">
        <v>506</v>
      </c>
      <c r="C103" s="393" t="s">
        <v>507</v>
      </c>
      <c r="D103" s="69" t="s">
        <v>508</v>
      </c>
      <c r="E103" s="69" t="s">
        <v>509</v>
      </c>
      <c r="F103" s="68"/>
    </row>
    <row r="104" spans="1:9" x14ac:dyDescent="0.2">
      <c r="A104" s="249" t="s">
        <v>386</v>
      </c>
      <c r="B104" s="250" t="s">
        <v>655</v>
      </c>
      <c r="C104" s="251" t="s">
        <v>656</v>
      </c>
      <c r="D104" s="249" t="s">
        <v>98</v>
      </c>
      <c r="E104" s="252">
        <f>(E77*2*1.2)+(E78*1*0.6)+(E79*0.6*0.4)</f>
        <v>101.75999999999999</v>
      </c>
      <c r="F104" s="68">
        <f t="shared" si="1"/>
        <v>101.76</v>
      </c>
      <c r="G104" s="67" t="s">
        <v>513</v>
      </c>
    </row>
    <row r="105" spans="1:9" x14ac:dyDescent="0.2">
      <c r="A105" s="686" t="s">
        <v>391</v>
      </c>
      <c r="B105" s="686"/>
      <c r="C105" s="686"/>
      <c r="D105" s="686"/>
      <c r="E105" s="686"/>
      <c r="F105" s="68"/>
    </row>
    <row r="106" spans="1:9" x14ac:dyDescent="0.2">
      <c r="A106" s="69" t="s">
        <v>80</v>
      </c>
      <c r="B106" s="69" t="s">
        <v>506</v>
      </c>
      <c r="C106" s="393" t="s">
        <v>507</v>
      </c>
      <c r="D106" s="69" t="s">
        <v>508</v>
      </c>
      <c r="E106" s="69" t="s">
        <v>509</v>
      </c>
      <c r="F106" s="68"/>
    </row>
    <row r="107" spans="1:9" ht="25.5" x14ac:dyDescent="0.2">
      <c r="A107" s="249" t="s">
        <v>392</v>
      </c>
      <c r="B107" s="250" t="s">
        <v>657</v>
      </c>
      <c r="C107" s="251" t="s">
        <v>658</v>
      </c>
      <c r="D107" s="249" t="s">
        <v>98</v>
      </c>
      <c r="E107" s="252">
        <f>E108*0.35</f>
        <v>694.0800999999999</v>
      </c>
      <c r="F107" s="68">
        <f t="shared" si="1"/>
        <v>694.08</v>
      </c>
      <c r="H107" s="253"/>
    </row>
    <row r="108" spans="1:9" x14ac:dyDescent="0.2">
      <c r="A108" s="249" t="s">
        <v>396</v>
      </c>
      <c r="B108" s="250" t="s">
        <v>659</v>
      </c>
      <c r="C108" s="251" t="s">
        <v>660</v>
      </c>
      <c r="D108" s="249" t="s">
        <v>98</v>
      </c>
      <c r="E108" s="252">
        <f>(19.5+27.9+16.7+23+11.74+15.44+27.78+28.5)*3+(28*8*1.9)+((6.47*2)+(19.5*2)+(6.8*2))*0.9+(114.8+96.36+117.78)*3</f>
        <v>1983.0859999999998</v>
      </c>
      <c r="F108" s="68">
        <f t="shared" si="1"/>
        <v>1983.09</v>
      </c>
      <c r="G108" s="67" t="s">
        <v>513</v>
      </c>
    </row>
    <row r="109" spans="1:9" ht="25.5" x14ac:dyDescent="0.2">
      <c r="A109" s="249" t="s">
        <v>400</v>
      </c>
      <c r="B109" s="286" t="s">
        <v>661</v>
      </c>
      <c r="C109" s="251" t="s">
        <v>662</v>
      </c>
      <c r="D109" s="249" t="s">
        <v>98</v>
      </c>
      <c r="E109" s="252">
        <f>(19.5+27.9+16.7+23+11.74+15.44+27.78+28.5)*1.1+(114.8+96.36+117.78)*1.1</f>
        <v>549.45000000000005</v>
      </c>
      <c r="F109" s="68">
        <f t="shared" si="1"/>
        <v>549.45000000000005</v>
      </c>
      <c r="G109" s="67" t="s">
        <v>513</v>
      </c>
      <c r="I109" s="83"/>
    </row>
    <row r="110" spans="1:9" ht="51" x14ac:dyDescent="0.2">
      <c r="A110" s="249" t="s">
        <v>402</v>
      </c>
      <c r="B110" s="250" t="s">
        <v>663</v>
      </c>
      <c r="C110" s="251" t="s">
        <v>664</v>
      </c>
      <c r="D110" s="249" t="s">
        <v>644</v>
      </c>
      <c r="E110" s="252">
        <f>(E71+E72+E73+E74+E75*1.5*1.2)*3+(E77*2*1.2+E78*1*0.6+E79*0.6*0.4)*3+(1769.07)+(110.55*2)</f>
        <v>2442.33</v>
      </c>
      <c r="F110" s="68">
        <f t="shared" si="1"/>
        <v>2442.33</v>
      </c>
      <c r="G110" s="67" t="s">
        <v>513</v>
      </c>
      <c r="I110" s="83"/>
    </row>
    <row r="111" spans="1:9" x14ac:dyDescent="0.2">
      <c r="A111" s="249" t="s">
        <v>406</v>
      </c>
      <c r="B111" s="250" t="s">
        <v>665</v>
      </c>
      <c r="C111" s="251" t="s">
        <v>666</v>
      </c>
      <c r="D111" s="249" t="s">
        <v>644</v>
      </c>
      <c r="E111" s="252">
        <f>20*32.1</f>
        <v>642</v>
      </c>
      <c r="F111" s="68">
        <f t="shared" si="1"/>
        <v>642</v>
      </c>
      <c r="G111" s="67" t="s">
        <v>513</v>
      </c>
      <c r="I111" s="83"/>
    </row>
    <row r="112" spans="1:9" x14ac:dyDescent="0.2">
      <c r="A112" s="249" t="s">
        <v>408</v>
      </c>
      <c r="B112" s="250" t="s">
        <v>667</v>
      </c>
      <c r="C112" s="251"/>
      <c r="D112" s="249" t="s">
        <v>424</v>
      </c>
      <c r="E112" s="252">
        <f>88+(8.93*2)+(8.98*2)+(8.9*4)+(9.93*4)+(3.13*2)+(19.63*2)+(1.57*4)+(6.31*4)+(3.13*2)+25.52+(10.18*3)+(5.92*4)+(1.8*4)</f>
        <v>369.37999999999994</v>
      </c>
      <c r="F112" s="68">
        <f t="shared" si="1"/>
        <v>369.38</v>
      </c>
      <c r="G112" s="67" t="s">
        <v>513</v>
      </c>
      <c r="I112" s="83"/>
    </row>
    <row r="113" spans="1:8" x14ac:dyDescent="0.2">
      <c r="A113" s="687" t="s">
        <v>413</v>
      </c>
      <c r="B113" s="687"/>
      <c r="C113" s="687"/>
      <c r="D113" s="687"/>
      <c r="E113" s="687"/>
      <c r="F113" s="68"/>
    </row>
    <row r="114" spans="1:8" x14ac:dyDescent="0.2">
      <c r="A114" s="69" t="s">
        <v>80</v>
      </c>
      <c r="B114" s="69" t="s">
        <v>506</v>
      </c>
      <c r="C114" s="393" t="s">
        <v>507</v>
      </c>
      <c r="D114" s="69" t="s">
        <v>508</v>
      </c>
      <c r="E114" s="69" t="s">
        <v>509</v>
      </c>
      <c r="F114" s="68"/>
    </row>
    <row r="115" spans="1:8" x14ac:dyDescent="0.2">
      <c r="A115" s="72" t="s">
        <v>414</v>
      </c>
      <c r="B115" s="70" t="s">
        <v>668</v>
      </c>
      <c r="C115" s="71" t="s">
        <v>669</v>
      </c>
      <c r="D115" s="80" t="s">
        <v>110</v>
      </c>
      <c r="E115" s="73">
        <v>11</v>
      </c>
      <c r="F115" s="68">
        <f t="shared" si="1"/>
        <v>11</v>
      </c>
      <c r="G115" s="67" t="s">
        <v>513</v>
      </c>
    </row>
    <row r="116" spans="1:8" x14ac:dyDescent="0.2">
      <c r="A116" s="72" t="s">
        <v>416</v>
      </c>
      <c r="B116" s="70" t="s">
        <v>670</v>
      </c>
      <c r="C116" s="71"/>
      <c r="D116" s="80" t="s">
        <v>110</v>
      </c>
      <c r="E116" s="73">
        <v>3</v>
      </c>
      <c r="F116" s="68">
        <f t="shared" si="1"/>
        <v>3</v>
      </c>
      <c r="G116" s="67" t="s">
        <v>513</v>
      </c>
    </row>
    <row r="117" spans="1:8" x14ac:dyDescent="0.2">
      <c r="A117" s="72" t="s">
        <v>418</v>
      </c>
      <c r="B117" s="70" t="s">
        <v>671</v>
      </c>
      <c r="C117" s="71"/>
      <c r="D117" s="80" t="s">
        <v>110</v>
      </c>
      <c r="E117" s="79">
        <v>1</v>
      </c>
      <c r="F117" s="68">
        <f t="shared" si="1"/>
        <v>1</v>
      </c>
      <c r="G117" s="67" t="s">
        <v>513</v>
      </c>
    </row>
    <row r="118" spans="1:8" x14ac:dyDescent="0.2">
      <c r="A118" s="72" t="s">
        <v>420</v>
      </c>
      <c r="B118" s="70" t="s">
        <v>672</v>
      </c>
      <c r="C118" s="71"/>
      <c r="D118" s="80" t="s">
        <v>110</v>
      </c>
      <c r="E118" s="79">
        <v>1</v>
      </c>
      <c r="F118" s="68">
        <f t="shared" si="1"/>
        <v>1</v>
      </c>
      <c r="G118" s="67" t="s">
        <v>513</v>
      </c>
    </row>
    <row r="119" spans="1:8" x14ac:dyDescent="0.2">
      <c r="A119" s="72" t="s">
        <v>422</v>
      </c>
      <c r="B119" s="70" t="s">
        <v>673</v>
      </c>
      <c r="C119" s="71" t="s">
        <v>674</v>
      </c>
      <c r="D119" s="86" t="s">
        <v>98</v>
      </c>
      <c r="E119" s="79">
        <f>1.25+2.32+(6.07*2)+2.9+(1.25*3)+7.13+(7.72*2)+2.26+7.4+4.33+(2.46*2)+(13.89*2)+4.4+6.03</f>
        <v>102.05000000000001</v>
      </c>
      <c r="F119" s="68">
        <f t="shared" si="1"/>
        <v>102.05</v>
      </c>
      <c r="G119" s="67" t="s">
        <v>513</v>
      </c>
    </row>
    <row r="120" spans="1:8" x14ac:dyDescent="0.2">
      <c r="A120" s="72" t="s">
        <v>425</v>
      </c>
      <c r="B120" s="70" t="s">
        <v>675</v>
      </c>
      <c r="C120" s="71" t="s">
        <v>676</v>
      </c>
      <c r="D120" s="80" t="s">
        <v>110</v>
      </c>
      <c r="E120" s="79">
        <v>5</v>
      </c>
      <c r="F120" s="68">
        <f t="shared" si="1"/>
        <v>5</v>
      </c>
      <c r="G120" s="67" t="s">
        <v>513</v>
      </c>
    </row>
    <row r="121" spans="1:8" x14ac:dyDescent="0.2">
      <c r="A121" s="72" t="s">
        <v>428</v>
      </c>
      <c r="B121" s="79" t="s">
        <v>677</v>
      </c>
      <c r="C121" s="71" t="s">
        <v>678</v>
      </c>
      <c r="D121" s="80" t="s">
        <v>110</v>
      </c>
      <c r="E121" s="79">
        <v>1</v>
      </c>
      <c r="F121" s="68">
        <f t="shared" si="1"/>
        <v>1</v>
      </c>
      <c r="G121" s="67" t="s">
        <v>513</v>
      </c>
    </row>
    <row r="122" spans="1:8" x14ac:dyDescent="0.2">
      <c r="A122" s="72"/>
      <c r="B122" s="79"/>
      <c r="C122" s="71"/>
      <c r="D122" s="79"/>
      <c r="E122" s="79"/>
      <c r="F122" s="68">
        <f t="shared" si="1"/>
        <v>0</v>
      </c>
      <c r="G122" s="67" t="s">
        <v>513</v>
      </c>
    </row>
    <row r="123" spans="1:8" x14ac:dyDescent="0.2">
      <c r="A123" s="685" t="s">
        <v>679</v>
      </c>
      <c r="B123" s="685"/>
      <c r="C123" s="686"/>
      <c r="D123" s="686"/>
      <c r="E123" s="686"/>
      <c r="F123" s="68"/>
    </row>
    <row r="124" spans="1:8" x14ac:dyDescent="0.2">
      <c r="A124" s="69" t="s">
        <v>80</v>
      </c>
      <c r="B124" s="69" t="s">
        <v>506</v>
      </c>
      <c r="C124" s="393" t="s">
        <v>507</v>
      </c>
      <c r="D124" s="69" t="s">
        <v>508</v>
      </c>
      <c r="E124" s="69" t="s">
        <v>509</v>
      </c>
      <c r="F124" s="68"/>
    </row>
    <row r="125" spans="1:8" ht="89.25" x14ac:dyDescent="0.2">
      <c r="A125" s="86" t="s">
        <v>432</v>
      </c>
      <c r="B125" s="264" t="s">
        <v>680</v>
      </c>
      <c r="C125" s="282" t="s">
        <v>681</v>
      </c>
      <c r="D125" s="86" t="s">
        <v>644</v>
      </c>
      <c r="E125" s="265">
        <f>77.6+103.8+153.8+85</f>
        <v>420.2</v>
      </c>
      <c r="F125" s="68">
        <f t="shared" si="1"/>
        <v>420.2</v>
      </c>
      <c r="G125" s="67" t="s">
        <v>513</v>
      </c>
    </row>
    <row r="126" spans="1:8" x14ac:dyDescent="0.2">
      <c r="A126" s="86" t="s">
        <v>436</v>
      </c>
      <c r="B126" s="70" t="s">
        <v>682</v>
      </c>
      <c r="C126" s="71" t="s">
        <v>683</v>
      </c>
      <c r="D126" s="72" t="s">
        <v>632</v>
      </c>
      <c r="E126" s="73">
        <f>30*2+22*2</f>
        <v>104</v>
      </c>
      <c r="F126" s="68">
        <f t="shared" si="1"/>
        <v>104</v>
      </c>
      <c r="G126" s="67" t="s">
        <v>513</v>
      </c>
    </row>
    <row r="127" spans="1:8" x14ac:dyDescent="0.2">
      <c r="A127" s="86" t="s">
        <v>440</v>
      </c>
      <c r="B127" s="74" t="s">
        <v>684</v>
      </c>
      <c r="C127" s="75" t="s">
        <v>685</v>
      </c>
      <c r="D127" s="90" t="s">
        <v>119</v>
      </c>
      <c r="E127" s="77">
        <f>E128*0.025</f>
        <v>5.375</v>
      </c>
      <c r="F127" s="68">
        <f t="shared" si="1"/>
        <v>5.38</v>
      </c>
      <c r="G127" s="67" t="s">
        <v>513</v>
      </c>
    </row>
    <row r="128" spans="1:8" x14ac:dyDescent="0.2">
      <c r="A128" s="86" t="s">
        <v>444</v>
      </c>
      <c r="B128" s="79" t="s">
        <v>686</v>
      </c>
      <c r="C128" s="71" t="s">
        <v>687</v>
      </c>
      <c r="D128" s="72" t="s">
        <v>98</v>
      </c>
      <c r="E128" s="79">
        <v>215</v>
      </c>
      <c r="F128" s="68">
        <f t="shared" si="1"/>
        <v>215</v>
      </c>
      <c r="G128" s="67" t="s">
        <v>513</v>
      </c>
      <c r="H128" s="89"/>
    </row>
    <row r="129" spans="1:7" x14ac:dyDescent="0.2">
      <c r="A129" s="685" t="s">
        <v>688</v>
      </c>
      <c r="B129" s="685"/>
      <c r="C129" s="686"/>
      <c r="D129" s="686"/>
      <c r="E129" s="686"/>
      <c r="F129" s="68"/>
    </row>
    <row r="130" spans="1:7" x14ac:dyDescent="0.2">
      <c r="A130" s="69" t="s">
        <v>80</v>
      </c>
      <c r="B130" s="69" t="s">
        <v>506</v>
      </c>
      <c r="C130" s="393" t="s">
        <v>507</v>
      </c>
      <c r="D130" s="69" t="s">
        <v>508</v>
      </c>
      <c r="E130" s="69" t="s">
        <v>509</v>
      </c>
      <c r="F130" s="68"/>
    </row>
    <row r="131" spans="1:7" x14ac:dyDescent="0.2">
      <c r="A131" s="72" t="s">
        <v>465</v>
      </c>
      <c r="B131" s="70" t="s">
        <v>689</v>
      </c>
      <c r="C131" s="71"/>
      <c r="D131" s="80" t="s">
        <v>110</v>
      </c>
      <c r="E131" s="73">
        <v>2</v>
      </c>
      <c r="F131" s="68">
        <f t="shared" si="1"/>
        <v>2</v>
      </c>
      <c r="G131" s="67" t="s">
        <v>513</v>
      </c>
    </row>
    <row r="132" spans="1:7" x14ac:dyDescent="0.2">
      <c r="A132" s="72" t="s">
        <v>469</v>
      </c>
      <c r="B132" s="70" t="s">
        <v>690</v>
      </c>
      <c r="C132" s="71"/>
      <c r="D132" s="80" t="s">
        <v>110</v>
      </c>
      <c r="E132" s="73">
        <v>4</v>
      </c>
      <c r="F132" s="68">
        <f t="shared" si="1"/>
        <v>4</v>
      </c>
      <c r="G132" s="67" t="s">
        <v>513</v>
      </c>
    </row>
    <row r="133" spans="1:7" x14ac:dyDescent="0.2">
      <c r="A133" s="72"/>
      <c r="B133" s="79"/>
      <c r="C133" s="71"/>
      <c r="D133" s="79"/>
      <c r="E133" s="79"/>
      <c r="F133" s="68">
        <f t="shared" si="1"/>
        <v>0</v>
      </c>
      <c r="G133" s="67" t="s">
        <v>513</v>
      </c>
    </row>
    <row r="134" spans="1:7" x14ac:dyDescent="0.2">
      <c r="A134" s="685" t="s">
        <v>691</v>
      </c>
      <c r="B134" s="685"/>
      <c r="C134" s="686"/>
      <c r="D134" s="686"/>
      <c r="E134" s="686"/>
      <c r="F134" s="68"/>
    </row>
    <row r="135" spans="1:7" x14ac:dyDescent="0.2">
      <c r="A135" s="69" t="s">
        <v>80</v>
      </c>
      <c r="B135" s="69" t="s">
        <v>506</v>
      </c>
      <c r="C135" s="393" t="s">
        <v>507</v>
      </c>
      <c r="D135" s="69" t="s">
        <v>508</v>
      </c>
      <c r="E135" s="69" t="s">
        <v>509</v>
      </c>
      <c r="F135" s="68"/>
    </row>
    <row r="136" spans="1:7" x14ac:dyDescent="0.2">
      <c r="A136" s="76" t="s">
        <v>475</v>
      </c>
      <c r="B136" s="74" t="s">
        <v>692</v>
      </c>
      <c r="C136" s="75" t="s">
        <v>693</v>
      </c>
      <c r="D136" s="76" t="s">
        <v>98</v>
      </c>
      <c r="E136" s="77">
        <f>E60</f>
        <v>1456.32</v>
      </c>
      <c r="F136" s="68">
        <f t="shared" si="1"/>
        <v>1456.32</v>
      </c>
      <c r="G136" s="67" t="s">
        <v>513</v>
      </c>
    </row>
  </sheetData>
  <mergeCells count="19">
    <mergeCell ref="A134:E134"/>
    <mergeCell ref="A2:E2"/>
    <mergeCell ref="A113:E113"/>
    <mergeCell ref="A105:E105"/>
    <mergeCell ref="A102:E102"/>
    <mergeCell ref="A98:E98"/>
    <mergeCell ref="A88:E88"/>
    <mergeCell ref="A80:E80"/>
    <mergeCell ref="A69:E69"/>
    <mergeCell ref="A11:E11"/>
    <mergeCell ref="A1:E1"/>
    <mergeCell ref="A129:E129"/>
    <mergeCell ref="A53:E53"/>
    <mergeCell ref="A40:E40"/>
    <mergeCell ref="A32:E32"/>
    <mergeCell ref="A58:E58"/>
    <mergeCell ref="A23:E23"/>
    <mergeCell ref="A47:E47"/>
    <mergeCell ref="A123:E123"/>
  </mergeCells>
  <phoneticPr fontId="14" type="noConversion"/>
  <pageMargins left="0.78740157480314965" right="0.78740157480314965" top="0.98425196850393704" bottom="0.98425196850393704" header="0.51181102362204722" footer="0.51181102362204722"/>
  <pageSetup paperSize="9" scale="80" orientation="portrait"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49"/>
  <sheetViews>
    <sheetView view="pageBreakPreview" zoomScale="75" zoomScaleNormal="100" workbookViewId="0">
      <selection activeCell="D18" sqref="D18"/>
    </sheetView>
  </sheetViews>
  <sheetFormatPr defaultColWidth="9.140625" defaultRowHeight="14.25" customHeight="1" x14ac:dyDescent="0.2"/>
  <cols>
    <col min="1" max="1" width="8.85546875" style="8" customWidth="1"/>
    <col min="2" max="3" width="19.42578125" style="11" customWidth="1"/>
    <col min="4" max="4" width="90.85546875" style="8" customWidth="1"/>
    <col min="5" max="5" width="6.5703125" style="8" customWidth="1"/>
    <col min="6" max="6" width="20.7109375" style="261" hidden="1" customWidth="1"/>
    <col min="7" max="7" width="15.7109375" style="8" customWidth="1"/>
    <col min="8" max="8" width="13.42578125" style="8" hidden="1" customWidth="1"/>
    <col min="9" max="9" width="10.5703125" style="8" hidden="1" customWidth="1"/>
    <col min="10" max="10" width="13.7109375" style="8" customWidth="1"/>
    <col min="11" max="11" width="18.85546875" style="8" customWidth="1"/>
    <col min="12" max="12" width="10.5703125" style="8" hidden="1" customWidth="1"/>
    <col min="13" max="13" width="11.5703125" style="62" customWidth="1"/>
    <col min="14" max="14" width="11" style="8" customWidth="1"/>
    <col min="15" max="15" width="14.85546875" style="62" customWidth="1"/>
    <col min="16" max="16" width="11.5703125" style="62" hidden="1" customWidth="1"/>
    <col min="17" max="17" width="11" style="8" hidden="1" customWidth="1"/>
    <col min="18" max="18" width="13.85546875" style="62" hidden="1" customWidth="1"/>
    <col min="19" max="19" width="11.5703125" style="62" hidden="1" customWidth="1"/>
    <col min="20" max="20" width="11" style="8" hidden="1" customWidth="1"/>
    <col min="21" max="21" width="13.85546875" style="62" hidden="1" customWidth="1"/>
    <col min="22" max="22" width="11.5703125" style="62" hidden="1" customWidth="1"/>
    <col min="23" max="23" width="11" style="8" hidden="1" customWidth="1"/>
    <col min="24" max="24" width="13.85546875" style="62" hidden="1" customWidth="1"/>
    <col min="25" max="25" width="11.5703125" style="62" hidden="1" customWidth="1"/>
    <col min="26" max="26" width="11" style="8" hidden="1" customWidth="1"/>
    <col min="27" max="27" width="13.85546875" style="62" hidden="1" customWidth="1"/>
    <col min="28" max="28" width="11.5703125" style="62" hidden="1" customWidth="1"/>
    <col min="29" max="29" width="11" style="8" hidden="1" customWidth="1"/>
    <col min="30" max="30" width="13.85546875" style="62" hidden="1" customWidth="1"/>
    <col min="31" max="31" width="11.5703125" style="62" hidden="1" customWidth="1"/>
    <col min="32" max="32" width="11" style="8" hidden="1" customWidth="1"/>
    <col min="33" max="33" width="13.85546875" style="62" hidden="1" customWidth="1"/>
    <col min="34" max="34" width="11.5703125" style="62" hidden="1" customWidth="1"/>
    <col min="35" max="35" width="11" style="8" hidden="1" customWidth="1"/>
    <col min="36" max="36" width="13.85546875" style="62" hidden="1" customWidth="1"/>
    <col min="37" max="37" width="11.5703125" style="62" hidden="1" customWidth="1"/>
    <col min="38" max="38" width="11" style="8" hidden="1" customWidth="1"/>
    <col min="39" max="39" width="13.85546875" style="62" hidden="1" customWidth="1"/>
    <col min="40" max="40" width="11.5703125" style="62" hidden="1" customWidth="1"/>
    <col min="41" max="41" width="11" style="8" hidden="1" customWidth="1"/>
    <col min="42" max="42" width="13.85546875" style="62" hidden="1" customWidth="1"/>
    <col min="43" max="43" width="11.5703125" style="62" hidden="1" customWidth="1"/>
    <col min="44" max="44" width="11" style="8" hidden="1" customWidth="1"/>
    <col min="45" max="45" width="13.85546875" style="62" hidden="1" customWidth="1"/>
    <col min="46" max="46" width="11.5703125" style="62" hidden="1" customWidth="1"/>
    <col min="47" max="47" width="11" style="8" hidden="1" customWidth="1"/>
    <col min="48" max="48" width="13.85546875" style="62" hidden="1" customWidth="1"/>
    <col min="49" max="49" width="11.140625" style="62" customWidth="1"/>
    <col min="50" max="50" width="9.140625" style="62"/>
    <col min="51" max="51" width="13.85546875" style="62" customWidth="1"/>
    <col min="52" max="52" width="11.85546875" style="62" customWidth="1"/>
    <col min="53" max="53" width="9.140625" style="62"/>
    <col min="54" max="54" width="14.42578125" style="62" customWidth="1"/>
    <col min="55" max="16384" width="9.140625" style="8"/>
  </cols>
  <sheetData>
    <row r="1" spans="1:54" s="6" customFormat="1" ht="19.5" customHeight="1" x14ac:dyDescent="0.25">
      <c r="A1" s="1" t="s">
        <v>56</v>
      </c>
      <c r="B1" s="5"/>
      <c r="C1" s="5"/>
      <c r="D1" s="4"/>
      <c r="F1" s="246"/>
      <c r="M1" s="62"/>
      <c r="O1" s="62"/>
      <c r="P1" s="62"/>
      <c r="R1" s="62"/>
      <c r="S1" s="62"/>
      <c r="U1" s="62"/>
      <c r="V1" s="62"/>
      <c r="X1" s="62"/>
      <c r="Y1" s="62"/>
      <c r="AA1" s="62"/>
      <c r="AB1" s="62"/>
      <c r="AD1" s="62"/>
      <c r="AE1" s="62"/>
      <c r="AG1" s="62"/>
      <c r="AH1" s="62"/>
      <c r="AJ1" s="62"/>
      <c r="AK1" s="62"/>
      <c r="AM1" s="62"/>
      <c r="AN1" s="62"/>
      <c r="AP1" s="62"/>
      <c r="AQ1" s="62"/>
      <c r="AS1" s="62"/>
      <c r="AT1" s="62"/>
      <c r="AV1" s="62"/>
      <c r="AW1" s="62"/>
      <c r="AX1" s="62"/>
      <c r="AY1" s="62"/>
      <c r="AZ1" s="62"/>
      <c r="BA1" s="62"/>
      <c r="BB1" s="62"/>
    </row>
    <row r="2" spans="1:54" ht="19.5" customHeight="1" x14ac:dyDescent="0.25">
      <c r="A2" s="2" t="s">
        <v>1</v>
      </c>
      <c r="B2" s="4"/>
      <c r="C2" s="4"/>
      <c r="D2" s="4"/>
      <c r="E2" s="6"/>
      <c r="F2" s="246"/>
      <c r="G2" s="6"/>
      <c r="H2" s="6"/>
      <c r="I2" s="6"/>
      <c r="J2" s="6"/>
      <c r="K2" s="6"/>
      <c r="L2" s="6"/>
      <c r="N2" s="6"/>
      <c r="Q2" s="6"/>
      <c r="T2" s="6"/>
      <c r="W2" s="6"/>
      <c r="Z2" s="6"/>
      <c r="AC2" s="6"/>
      <c r="AF2" s="6"/>
      <c r="AI2" s="6"/>
      <c r="AL2" s="6"/>
      <c r="AO2" s="6"/>
      <c r="AR2" s="6"/>
      <c r="AU2" s="6"/>
    </row>
    <row r="3" spans="1:54" s="6" customFormat="1" ht="19.5" customHeight="1" x14ac:dyDescent="0.25">
      <c r="A3" s="2" t="s">
        <v>2</v>
      </c>
      <c r="B3" s="4"/>
      <c r="C3" s="4"/>
      <c r="D3" s="4"/>
      <c r="F3" s="246"/>
      <c r="M3" s="62"/>
      <c r="O3" s="62"/>
      <c r="P3" s="62"/>
      <c r="R3" s="62"/>
      <c r="S3" s="62"/>
      <c r="U3" s="62"/>
      <c r="V3" s="62"/>
      <c r="X3" s="62"/>
      <c r="Y3" s="62"/>
      <c r="AA3" s="62"/>
      <c r="AB3" s="62"/>
      <c r="AD3" s="62"/>
      <c r="AE3" s="62"/>
      <c r="AG3" s="62"/>
      <c r="AH3" s="62"/>
      <c r="AJ3" s="62"/>
      <c r="AK3" s="62"/>
      <c r="AM3" s="62"/>
      <c r="AN3" s="62"/>
      <c r="AP3" s="62"/>
      <c r="AQ3" s="62"/>
      <c r="AS3" s="62"/>
      <c r="AT3" s="62"/>
      <c r="AV3" s="62"/>
      <c r="AW3" s="62"/>
      <c r="AX3" s="62"/>
      <c r="AY3" s="62"/>
      <c r="AZ3" s="62"/>
      <c r="BA3" s="62"/>
      <c r="BB3" s="62"/>
    </row>
    <row r="4" spans="1:54" ht="19.5" customHeight="1" x14ac:dyDescent="0.25">
      <c r="A4" s="1" t="s">
        <v>3</v>
      </c>
      <c r="B4" s="5"/>
      <c r="C4" s="5"/>
      <c r="D4" s="4"/>
      <c r="E4" s="6"/>
      <c r="F4" s="246"/>
      <c r="G4" s="6"/>
      <c r="H4" s="6"/>
      <c r="I4" s="6"/>
      <c r="J4" s="6"/>
      <c r="K4" s="6"/>
      <c r="L4" s="6"/>
      <c r="N4" s="6"/>
      <c r="Q4" s="6"/>
      <c r="T4" s="6"/>
      <c r="W4" s="6"/>
      <c r="Z4" s="6"/>
      <c r="AC4" s="6"/>
      <c r="AF4" s="6"/>
      <c r="AI4" s="6"/>
      <c r="AL4" s="6"/>
      <c r="AO4" s="6"/>
      <c r="AR4" s="6"/>
      <c r="AU4" s="6"/>
    </row>
    <row r="5" spans="1:54" ht="18" x14ac:dyDescent="0.25">
      <c r="A5" s="1" t="s">
        <v>4</v>
      </c>
      <c r="B5" s="5"/>
      <c r="C5" s="5"/>
      <c r="D5" s="4"/>
      <c r="E5" s="688" t="e">
        <f>RESUMO!#REF!</f>
        <v>#REF!</v>
      </c>
      <c r="F5" s="688"/>
      <c r="G5" s="688"/>
      <c r="H5" s="688"/>
      <c r="I5" s="688"/>
      <c r="J5" s="688"/>
      <c r="K5" s="688"/>
      <c r="L5" s="191"/>
      <c r="N5" s="6"/>
      <c r="Q5" s="6"/>
      <c r="T5" s="6"/>
      <c r="W5" s="6"/>
      <c r="Z5" s="6"/>
      <c r="AC5" s="6"/>
      <c r="AF5" s="6"/>
      <c r="AI5" s="6"/>
      <c r="AL5" s="6"/>
      <c r="AO5" s="6"/>
      <c r="AR5" s="6"/>
      <c r="AU5" s="6"/>
    </row>
    <row r="6" spans="1:54" ht="19.5" customHeight="1" x14ac:dyDescent="0.25">
      <c r="A6" s="1" t="e">
        <f>RESUMO!#REF!</f>
        <v>#REF!</v>
      </c>
      <c r="B6" s="5"/>
      <c r="C6" s="5"/>
      <c r="D6" s="5"/>
      <c r="E6" s="688"/>
      <c r="F6" s="688"/>
      <c r="G6" s="688"/>
      <c r="H6" s="688"/>
      <c r="I6" s="688"/>
      <c r="J6" s="688"/>
      <c r="K6" s="688"/>
      <c r="L6" s="191"/>
      <c r="N6" s="6"/>
      <c r="Q6" s="6"/>
      <c r="T6" s="6"/>
      <c r="W6" s="6"/>
      <c r="Z6" s="6"/>
      <c r="AC6" s="6"/>
      <c r="AF6" s="6"/>
      <c r="AI6" s="6"/>
      <c r="AL6" s="6"/>
      <c r="AO6" s="6"/>
      <c r="AR6" s="6"/>
      <c r="AU6" s="6"/>
      <c r="AW6" s="6"/>
      <c r="AX6" s="6"/>
      <c r="AY6" s="6"/>
    </row>
    <row r="7" spans="1:54" ht="18" x14ac:dyDescent="0.25">
      <c r="A7" s="1" t="e">
        <f>RESUMO!#REF!</f>
        <v>#REF!</v>
      </c>
      <c r="B7" s="5"/>
      <c r="C7" s="5"/>
      <c r="D7" s="5"/>
      <c r="E7" s="688"/>
      <c r="F7" s="688"/>
      <c r="G7" s="688"/>
      <c r="H7" s="688"/>
      <c r="I7" s="688"/>
      <c r="J7" s="688"/>
      <c r="K7" s="688"/>
      <c r="L7" s="191"/>
      <c r="N7" s="403"/>
      <c r="Q7" s="6"/>
      <c r="T7" s="6"/>
      <c r="W7" s="6"/>
      <c r="Z7" s="6"/>
      <c r="AC7" s="6"/>
      <c r="AF7" s="6"/>
      <c r="AI7" s="6"/>
      <c r="AL7" s="6"/>
      <c r="AO7" s="6"/>
      <c r="AR7" s="6"/>
      <c r="AU7" s="6"/>
      <c r="AW7" s="6"/>
      <c r="AX7" s="6"/>
      <c r="AY7" s="6"/>
    </row>
    <row r="8" spans="1:54" ht="18.75" thickBot="1" x14ac:dyDescent="0.3">
      <c r="A8" s="1" t="str">
        <f>RESUMO!A7</f>
        <v xml:space="preserve">RESUMO DA PLANILHA ORÇAMENTARIA </v>
      </c>
      <c r="B8" s="9"/>
      <c r="C8" s="9"/>
      <c r="D8" s="10"/>
      <c r="E8" s="64" t="s">
        <v>45</v>
      </c>
      <c r="F8" s="246"/>
      <c r="G8" s="689">
        <f>Reforma!G8</f>
        <v>0.2581</v>
      </c>
      <c r="H8" s="689"/>
      <c r="I8" s="236"/>
      <c r="J8" s="64" t="s">
        <v>57</v>
      </c>
      <c r="K8" s="236">
        <f>Reforma!K8</f>
        <v>0</v>
      </c>
      <c r="L8" s="21"/>
      <c r="N8" s="6"/>
      <c r="Q8" s="6"/>
      <c r="T8" s="6"/>
      <c r="W8" s="6"/>
      <c r="Z8" s="6"/>
      <c r="AC8" s="6"/>
      <c r="AF8" s="6"/>
      <c r="AI8" s="6"/>
      <c r="AL8" s="6"/>
      <c r="AO8" s="6"/>
      <c r="AR8" s="6"/>
      <c r="AU8" s="6"/>
    </row>
    <row r="9" spans="1:54" ht="16.5" customHeight="1" thickBot="1" x14ac:dyDescent="0.25">
      <c r="A9" s="645" t="s">
        <v>13</v>
      </c>
      <c r="B9" s="655" t="s">
        <v>59</v>
      </c>
      <c r="C9" s="655" t="s">
        <v>60</v>
      </c>
      <c r="D9" s="645" t="s">
        <v>61</v>
      </c>
      <c r="E9" s="655" t="s">
        <v>62</v>
      </c>
      <c r="F9" s="655" t="s">
        <v>63</v>
      </c>
      <c r="G9" s="660" t="s">
        <v>64</v>
      </c>
      <c r="H9" s="664"/>
      <c r="I9" s="661"/>
      <c r="J9" s="660" t="s">
        <v>65</v>
      </c>
      <c r="K9" s="661"/>
      <c r="L9" s="196"/>
      <c r="M9" s="649" t="s">
        <v>66</v>
      </c>
      <c r="N9" s="649"/>
      <c r="O9" s="649"/>
      <c r="P9" s="649" t="s">
        <v>67</v>
      </c>
      <c r="Q9" s="649"/>
      <c r="R9" s="649"/>
      <c r="S9" s="649" t="s">
        <v>68</v>
      </c>
      <c r="T9" s="649"/>
      <c r="U9" s="649"/>
      <c r="V9" s="649" t="s">
        <v>69</v>
      </c>
      <c r="W9" s="649"/>
      <c r="X9" s="649"/>
      <c r="Y9" s="649" t="s">
        <v>70</v>
      </c>
      <c r="Z9" s="649"/>
      <c r="AA9" s="649"/>
      <c r="AB9" s="649" t="s">
        <v>71</v>
      </c>
      <c r="AC9" s="649"/>
      <c r="AD9" s="649"/>
      <c r="AE9" s="649" t="s">
        <v>72</v>
      </c>
      <c r="AF9" s="649"/>
      <c r="AG9" s="649"/>
      <c r="AH9" s="649" t="s">
        <v>73</v>
      </c>
      <c r="AI9" s="649"/>
      <c r="AJ9" s="649"/>
      <c r="AK9" s="649" t="s">
        <v>74</v>
      </c>
      <c r="AL9" s="649"/>
      <c r="AM9" s="649"/>
      <c r="AN9" s="649" t="s">
        <v>75</v>
      </c>
      <c r="AO9" s="649"/>
      <c r="AP9" s="649"/>
      <c r="AQ9" s="649" t="s">
        <v>76</v>
      </c>
      <c r="AR9" s="649"/>
      <c r="AS9" s="649"/>
      <c r="AT9" s="649" t="s">
        <v>77</v>
      </c>
      <c r="AU9" s="649"/>
      <c r="AV9" s="649"/>
      <c r="AW9" s="649" t="s">
        <v>78</v>
      </c>
      <c r="AX9" s="649"/>
      <c r="AY9" s="649"/>
      <c r="AZ9" s="649" t="s">
        <v>79</v>
      </c>
      <c r="BA9" s="649"/>
      <c r="BB9" s="649"/>
    </row>
    <row r="10" spans="1:54" ht="15.75" customHeight="1" thickBot="1" x14ac:dyDescent="0.25">
      <c r="A10" s="646"/>
      <c r="B10" s="656"/>
      <c r="C10" s="656"/>
      <c r="D10" s="646"/>
      <c r="E10" s="656"/>
      <c r="F10" s="656"/>
      <c r="G10" s="662"/>
      <c r="H10" s="665"/>
      <c r="I10" s="663"/>
      <c r="J10" s="662"/>
      <c r="K10" s="663"/>
      <c r="L10" s="197"/>
      <c r="M10" s="651" t="s">
        <v>86</v>
      </c>
      <c r="N10" s="650" t="s">
        <v>87</v>
      </c>
      <c r="O10" s="390" t="s">
        <v>88</v>
      </c>
      <c r="P10" s="651" t="s">
        <v>86</v>
      </c>
      <c r="Q10" s="650" t="s">
        <v>87</v>
      </c>
      <c r="R10" s="390" t="s">
        <v>88</v>
      </c>
      <c r="S10" s="651" t="s">
        <v>86</v>
      </c>
      <c r="T10" s="650" t="s">
        <v>87</v>
      </c>
      <c r="U10" s="390" t="s">
        <v>88</v>
      </c>
      <c r="V10" s="651" t="s">
        <v>86</v>
      </c>
      <c r="W10" s="650" t="s">
        <v>87</v>
      </c>
      <c r="X10" s="390" t="s">
        <v>88</v>
      </c>
      <c r="Y10" s="651" t="s">
        <v>86</v>
      </c>
      <c r="Z10" s="650" t="s">
        <v>87</v>
      </c>
      <c r="AA10" s="390" t="s">
        <v>88</v>
      </c>
      <c r="AB10" s="651" t="s">
        <v>86</v>
      </c>
      <c r="AC10" s="650" t="s">
        <v>87</v>
      </c>
      <c r="AD10" s="390" t="s">
        <v>88</v>
      </c>
      <c r="AE10" s="651" t="s">
        <v>86</v>
      </c>
      <c r="AF10" s="650" t="s">
        <v>87</v>
      </c>
      <c r="AG10" s="390" t="s">
        <v>88</v>
      </c>
      <c r="AH10" s="651" t="s">
        <v>86</v>
      </c>
      <c r="AI10" s="650" t="s">
        <v>87</v>
      </c>
      <c r="AJ10" s="390" t="s">
        <v>88</v>
      </c>
      <c r="AK10" s="651" t="s">
        <v>86</v>
      </c>
      <c r="AL10" s="650" t="s">
        <v>87</v>
      </c>
      <c r="AM10" s="390" t="s">
        <v>88</v>
      </c>
      <c r="AN10" s="651" t="s">
        <v>86</v>
      </c>
      <c r="AO10" s="650" t="s">
        <v>87</v>
      </c>
      <c r="AP10" s="390" t="s">
        <v>88</v>
      </c>
      <c r="AQ10" s="651" t="s">
        <v>86</v>
      </c>
      <c r="AR10" s="650" t="s">
        <v>87</v>
      </c>
      <c r="AS10" s="390" t="s">
        <v>88</v>
      </c>
      <c r="AT10" s="651" t="s">
        <v>86</v>
      </c>
      <c r="AU10" s="650" t="s">
        <v>87</v>
      </c>
      <c r="AV10" s="390" t="s">
        <v>88</v>
      </c>
      <c r="AW10" s="651" t="s">
        <v>86</v>
      </c>
      <c r="AX10" s="650" t="s">
        <v>87</v>
      </c>
      <c r="AY10" s="390" t="s">
        <v>88</v>
      </c>
      <c r="AZ10" s="651" t="s">
        <v>86</v>
      </c>
      <c r="BA10" s="650" t="s">
        <v>87</v>
      </c>
      <c r="BB10" s="390" t="s">
        <v>88</v>
      </c>
    </row>
    <row r="11" spans="1:54" ht="16.5" thickBot="1" x14ac:dyDescent="0.25">
      <c r="A11" s="647"/>
      <c r="B11" s="657"/>
      <c r="C11" s="657"/>
      <c r="D11" s="647"/>
      <c r="E11" s="657"/>
      <c r="F11" s="657"/>
      <c r="G11" s="394" t="s">
        <v>89</v>
      </c>
      <c r="H11" s="394" t="s">
        <v>90</v>
      </c>
      <c r="I11" s="394" t="s">
        <v>91</v>
      </c>
      <c r="J11" s="388" t="s">
        <v>92</v>
      </c>
      <c r="K11" s="389" t="s">
        <v>89</v>
      </c>
      <c r="L11" s="388" t="s">
        <v>91</v>
      </c>
      <c r="M11" s="651"/>
      <c r="N11" s="650"/>
      <c r="O11" s="390" t="s">
        <v>21</v>
      </c>
      <c r="P11" s="651"/>
      <c r="Q11" s="650"/>
      <c r="R11" s="390" t="s">
        <v>21</v>
      </c>
      <c r="S11" s="651"/>
      <c r="T11" s="650"/>
      <c r="U11" s="390" t="s">
        <v>21</v>
      </c>
      <c r="V11" s="651"/>
      <c r="W11" s="650"/>
      <c r="X11" s="390" t="s">
        <v>21</v>
      </c>
      <c r="Y11" s="651"/>
      <c r="Z11" s="650"/>
      <c r="AA11" s="390" t="s">
        <v>21</v>
      </c>
      <c r="AB11" s="651"/>
      <c r="AC11" s="650"/>
      <c r="AD11" s="390" t="s">
        <v>21</v>
      </c>
      <c r="AE11" s="651"/>
      <c r="AF11" s="650"/>
      <c r="AG11" s="390" t="s">
        <v>21</v>
      </c>
      <c r="AH11" s="651"/>
      <c r="AI11" s="650"/>
      <c r="AJ11" s="390" t="s">
        <v>21</v>
      </c>
      <c r="AK11" s="651"/>
      <c r="AL11" s="650"/>
      <c r="AM11" s="390" t="s">
        <v>21</v>
      </c>
      <c r="AN11" s="651"/>
      <c r="AO11" s="650"/>
      <c r="AP11" s="390" t="s">
        <v>21</v>
      </c>
      <c r="AQ11" s="651"/>
      <c r="AR11" s="650"/>
      <c r="AS11" s="390" t="s">
        <v>21</v>
      </c>
      <c r="AT11" s="651"/>
      <c r="AU11" s="650"/>
      <c r="AV11" s="390" t="s">
        <v>21</v>
      </c>
      <c r="AW11" s="651"/>
      <c r="AX11" s="650"/>
      <c r="AY11" s="390" t="s">
        <v>21</v>
      </c>
      <c r="AZ11" s="651"/>
      <c r="BA11" s="650"/>
      <c r="BB11" s="390" t="s">
        <v>21</v>
      </c>
    </row>
    <row r="12" spans="1:54" ht="15" x14ac:dyDescent="0.2">
      <c r="A12" s="198" t="s">
        <v>53</v>
      </c>
      <c r="B12" s="199"/>
      <c r="C12" s="199"/>
      <c r="D12" s="200" t="s">
        <v>93</v>
      </c>
      <c r="E12" s="201"/>
      <c r="F12" s="247"/>
      <c r="G12" s="202"/>
      <c r="H12" s="202"/>
      <c r="I12" s="202"/>
      <c r="J12" s="202"/>
      <c r="K12" s="84"/>
      <c r="L12" s="205"/>
      <c r="M12" s="294"/>
      <c r="N12" s="295"/>
      <c r="O12" s="296"/>
      <c r="P12" s="297"/>
      <c r="Q12" s="295"/>
      <c r="R12" s="296"/>
      <c r="S12" s="297"/>
      <c r="T12" s="295"/>
      <c r="U12" s="296"/>
      <c r="V12" s="297"/>
      <c r="W12" s="295"/>
      <c r="X12" s="296"/>
      <c r="Y12" s="297"/>
      <c r="Z12" s="295"/>
      <c r="AA12" s="296"/>
      <c r="AB12" s="297"/>
      <c r="AC12" s="295"/>
      <c r="AD12" s="296"/>
      <c r="AE12" s="297"/>
      <c r="AF12" s="295"/>
      <c r="AG12" s="296"/>
      <c r="AH12" s="297"/>
      <c r="AI12" s="295"/>
      <c r="AJ12" s="296"/>
      <c r="AK12" s="297"/>
      <c r="AL12" s="295"/>
      <c r="AM12" s="296"/>
      <c r="AN12" s="297"/>
      <c r="AO12" s="295"/>
      <c r="AP12" s="296"/>
      <c r="AQ12" s="297"/>
      <c r="AR12" s="295"/>
      <c r="AS12" s="296"/>
      <c r="AT12" s="297"/>
      <c r="AU12" s="295"/>
      <c r="AV12" s="298"/>
      <c r="AW12" s="297"/>
      <c r="AX12" s="295"/>
      <c r="AY12" s="299"/>
      <c r="AZ12" s="300"/>
      <c r="BA12" s="295"/>
      <c r="BB12" s="299"/>
    </row>
    <row r="13" spans="1:54" ht="15" x14ac:dyDescent="0.2">
      <c r="A13" s="39" t="s">
        <v>94</v>
      </c>
      <c r="B13" s="338" t="s">
        <v>694</v>
      </c>
      <c r="C13" s="28" t="s">
        <v>695</v>
      </c>
      <c r="D13" s="58" t="s">
        <v>696</v>
      </c>
      <c r="E13" s="28" t="s">
        <v>98</v>
      </c>
      <c r="F13" s="339">
        <v>3.32</v>
      </c>
      <c r="G13" s="37">
        <f>'Quant Ampl 02 Salas'!F4</f>
        <v>135.29</v>
      </c>
      <c r="H13" s="37">
        <f>G13</f>
        <v>135.29</v>
      </c>
      <c r="I13" s="37">
        <f>H13-G13</f>
        <v>0</v>
      </c>
      <c r="J13" s="37">
        <f>ROUND((F13*(1+$K$8))*(1+$G$8),2)</f>
        <v>4.18</v>
      </c>
      <c r="K13" s="38">
        <f>TRUNC(J13*G13,2)</f>
        <v>565.51</v>
      </c>
      <c r="L13" s="206">
        <f t="shared" ref="L13:L79" si="0">TRUNC(J13*I13,2)</f>
        <v>0</v>
      </c>
      <c r="M13" s="301">
        <f>N13/$H13*100</f>
        <v>0</v>
      </c>
      <c r="N13" s="295">
        <v>0</v>
      </c>
      <c r="O13" s="295">
        <f>TRUNC(N13*$J13,2)</f>
        <v>0</v>
      </c>
      <c r="P13" s="302">
        <f>Q13/$H13*100</f>
        <v>0</v>
      </c>
      <c r="Q13" s="295"/>
      <c r="R13" s="295">
        <f>TRUNC(Q13*$J13,2)</f>
        <v>0</v>
      </c>
      <c r="S13" s="302">
        <f>T13/$H13*100</f>
        <v>0</v>
      </c>
      <c r="T13" s="295"/>
      <c r="U13" s="295">
        <f>TRUNC(T13*$J13,2)</f>
        <v>0</v>
      </c>
      <c r="V13" s="302">
        <f>W13/$H13*100</f>
        <v>0</v>
      </c>
      <c r="W13" s="295"/>
      <c r="X13" s="295">
        <f>TRUNC(W13*$J13,2)</f>
        <v>0</v>
      </c>
      <c r="Y13" s="302">
        <f>Z13/$H13*100</f>
        <v>0</v>
      </c>
      <c r="Z13" s="295"/>
      <c r="AA13" s="295">
        <f>TRUNC(Z13*$J13,2)</f>
        <v>0</v>
      </c>
      <c r="AB13" s="302">
        <f>AC13/$H13*100</f>
        <v>0</v>
      </c>
      <c r="AC13" s="295"/>
      <c r="AD13" s="295">
        <f>TRUNC(AC13*$J13,2)</f>
        <v>0</v>
      </c>
      <c r="AE13" s="302">
        <f>AF13/$H13*100</f>
        <v>0</v>
      </c>
      <c r="AF13" s="295"/>
      <c r="AG13" s="295">
        <f>TRUNC(AF13*$J13,2)</f>
        <v>0</v>
      </c>
      <c r="AH13" s="302">
        <f>AI13/$H13*100</f>
        <v>0</v>
      </c>
      <c r="AI13" s="295"/>
      <c r="AJ13" s="295">
        <f>TRUNC(AI13*$J13,2)</f>
        <v>0</v>
      </c>
      <c r="AK13" s="302">
        <f>AL13/$H13*100</f>
        <v>0</v>
      </c>
      <c r="AL13" s="295"/>
      <c r="AM13" s="295">
        <f>TRUNC(AL13*$J13,2)</f>
        <v>0</v>
      </c>
      <c r="AN13" s="302">
        <f>AO13/$H13*100</f>
        <v>0</v>
      </c>
      <c r="AO13" s="295"/>
      <c r="AP13" s="295">
        <f>TRUNC(AO13*$J13,2)</f>
        <v>0</v>
      </c>
      <c r="AQ13" s="302">
        <f>AR13/$H13*100</f>
        <v>0</v>
      </c>
      <c r="AR13" s="295"/>
      <c r="AS13" s="295">
        <f>TRUNC(AR13*$J13,2)</f>
        <v>0</v>
      </c>
      <c r="AT13" s="302">
        <f>AU13/$H13*100</f>
        <v>0</v>
      </c>
      <c r="AU13" s="295"/>
      <c r="AV13" s="303">
        <f>TRUNC(AU13*$J13,2)</f>
        <v>0</v>
      </c>
      <c r="AW13" s="302">
        <f>AX13/$H13*100</f>
        <v>0</v>
      </c>
      <c r="AX13" s="295">
        <f>Q13+N13+T13+W13+Z13+AC13+AF13+AI13+AL13+AO13+AR13+AU13</f>
        <v>0</v>
      </c>
      <c r="AY13" s="304">
        <f>TRUNC(AX13*$J13,2)</f>
        <v>0</v>
      </c>
      <c r="AZ13" s="302">
        <f>BA13/$H13*100</f>
        <v>100</v>
      </c>
      <c r="BA13" s="295">
        <f>H13-AX13</f>
        <v>135.29</v>
      </c>
      <c r="BB13" s="304">
        <f>TRUNC(BA13*$J13,2)</f>
        <v>565.51</v>
      </c>
    </row>
    <row r="14" spans="1:54" ht="15" customHeight="1" x14ac:dyDescent="0.2">
      <c r="A14" s="39"/>
      <c r="B14" s="40"/>
      <c r="C14" s="40"/>
      <c r="D14" s="41"/>
      <c r="E14" s="42"/>
      <c r="F14" s="242"/>
      <c r="G14" s="37"/>
      <c r="H14" s="642" t="s">
        <v>479</v>
      </c>
      <c r="I14" s="642"/>
      <c r="J14" s="642"/>
      <c r="K14" s="43">
        <f>SUM(K12:K13)</f>
        <v>565.51</v>
      </c>
      <c r="L14" s="43">
        <f>SUM(L12:L13)</f>
        <v>0</v>
      </c>
      <c r="M14" s="648" t="s">
        <v>125</v>
      </c>
      <c r="N14" s="642"/>
      <c r="O14" s="172">
        <f>SUM(O12:O13)</f>
        <v>0</v>
      </c>
      <c r="P14" s="641" t="s">
        <v>125</v>
      </c>
      <c r="Q14" s="642"/>
      <c r="R14" s="172">
        <f>SUM(R12:R13)</f>
        <v>0</v>
      </c>
      <c r="S14" s="641" t="s">
        <v>125</v>
      </c>
      <c r="T14" s="642"/>
      <c r="U14" s="172">
        <f>SUM(U12:U13)</f>
        <v>0</v>
      </c>
      <c r="V14" s="641" t="s">
        <v>125</v>
      </c>
      <c r="W14" s="642"/>
      <c r="X14" s="172">
        <f>SUM(X12:X13)</f>
        <v>0</v>
      </c>
      <c r="Y14" s="641" t="s">
        <v>125</v>
      </c>
      <c r="Z14" s="642"/>
      <c r="AA14" s="172">
        <f>SUM(AA12:AA13)</f>
        <v>0</v>
      </c>
      <c r="AB14" s="641" t="s">
        <v>125</v>
      </c>
      <c r="AC14" s="642"/>
      <c r="AD14" s="172">
        <f>SUM(AD12:AD13)</f>
        <v>0</v>
      </c>
      <c r="AE14" s="641" t="s">
        <v>125</v>
      </c>
      <c r="AF14" s="642"/>
      <c r="AG14" s="172">
        <f>SUM(AG12:AG13)</f>
        <v>0</v>
      </c>
      <c r="AH14" s="641" t="s">
        <v>125</v>
      </c>
      <c r="AI14" s="642"/>
      <c r="AJ14" s="172">
        <f>SUM(AJ12:AJ13)</f>
        <v>0</v>
      </c>
      <c r="AK14" s="641" t="s">
        <v>125</v>
      </c>
      <c r="AL14" s="642"/>
      <c r="AM14" s="172">
        <f>SUM(AM12:AM13)</f>
        <v>0</v>
      </c>
      <c r="AN14" s="641" t="s">
        <v>125</v>
      </c>
      <c r="AO14" s="642"/>
      <c r="AP14" s="172">
        <f>SUM(AP12:AP13)</f>
        <v>0</v>
      </c>
      <c r="AQ14" s="641" t="s">
        <v>125</v>
      </c>
      <c r="AR14" s="642"/>
      <c r="AS14" s="172">
        <f>SUM(AS12:AS13)</f>
        <v>0</v>
      </c>
      <c r="AT14" s="641" t="s">
        <v>125</v>
      </c>
      <c r="AU14" s="642"/>
      <c r="AV14" s="173">
        <f>SUM(AV12:AV13)</f>
        <v>0</v>
      </c>
      <c r="AW14" s="641" t="s">
        <v>125</v>
      </c>
      <c r="AX14" s="642"/>
      <c r="AY14" s="43">
        <f>SUM(AY12:AY13)</f>
        <v>0</v>
      </c>
      <c r="AZ14" s="641" t="s">
        <v>125</v>
      </c>
      <c r="BA14" s="642"/>
      <c r="BB14" s="43">
        <f>SUM(BB12:BB13)</f>
        <v>565.51</v>
      </c>
    </row>
    <row r="15" spans="1:54" ht="15" x14ac:dyDescent="0.2">
      <c r="A15" s="34" t="s">
        <v>41</v>
      </c>
      <c r="B15" s="46"/>
      <c r="C15" s="46"/>
      <c r="D15" s="27" t="s">
        <v>172</v>
      </c>
      <c r="E15" s="45"/>
      <c r="F15" s="242"/>
      <c r="G15" s="385"/>
      <c r="H15" s="385"/>
      <c r="I15" s="385"/>
      <c r="J15" s="385"/>
      <c r="K15" s="43"/>
      <c r="L15" s="206"/>
      <c r="M15" s="301"/>
      <c r="N15" s="295"/>
      <c r="O15" s="295"/>
      <c r="P15" s="302"/>
      <c r="Q15" s="295"/>
      <c r="R15" s="295"/>
      <c r="S15" s="302"/>
      <c r="T15" s="295"/>
      <c r="U15" s="295"/>
      <c r="V15" s="302"/>
      <c r="W15" s="295"/>
      <c r="X15" s="295"/>
      <c r="Y15" s="302"/>
      <c r="Z15" s="295"/>
      <c r="AA15" s="295"/>
      <c r="AB15" s="302"/>
      <c r="AC15" s="295"/>
      <c r="AD15" s="295"/>
      <c r="AE15" s="302"/>
      <c r="AF15" s="295"/>
      <c r="AG15" s="295"/>
      <c r="AH15" s="302"/>
      <c r="AI15" s="295"/>
      <c r="AJ15" s="295"/>
      <c r="AK15" s="302"/>
      <c r="AL15" s="295"/>
      <c r="AM15" s="295"/>
      <c r="AN15" s="302"/>
      <c r="AO15" s="295"/>
      <c r="AP15" s="295"/>
      <c r="AQ15" s="302"/>
      <c r="AR15" s="295"/>
      <c r="AS15" s="295"/>
      <c r="AT15" s="302"/>
      <c r="AU15" s="295"/>
      <c r="AV15" s="303"/>
      <c r="AW15" s="305"/>
      <c r="AX15" s="295"/>
      <c r="AY15" s="304"/>
      <c r="AZ15" s="305"/>
      <c r="BA15" s="295"/>
      <c r="BB15" s="304"/>
    </row>
    <row r="16" spans="1:54" ht="15" x14ac:dyDescent="0.2">
      <c r="A16" s="39" t="s">
        <v>127</v>
      </c>
      <c r="B16" s="338" t="s">
        <v>174</v>
      </c>
      <c r="C16" s="28" t="s">
        <v>175</v>
      </c>
      <c r="D16" s="58" t="s">
        <v>176</v>
      </c>
      <c r="E16" s="28" t="s">
        <v>119</v>
      </c>
      <c r="F16" s="339">
        <v>20.56</v>
      </c>
      <c r="G16" s="44">
        <f>'Quant Ampl 02 Salas'!F7</f>
        <v>4.8</v>
      </c>
      <c r="H16" s="44">
        <f t="shared" ref="H16:H22" si="1">G16</f>
        <v>4.8</v>
      </c>
      <c r="I16" s="37">
        <f t="shared" ref="I16:I22" si="2">H16-G16</f>
        <v>0</v>
      </c>
      <c r="J16" s="37">
        <f t="shared" ref="J16:J22" si="3">ROUND((F16*(1+$K$8))*(1+$G$8),2)</f>
        <v>25.87</v>
      </c>
      <c r="K16" s="38">
        <f t="shared" ref="K16:K22" si="4">TRUNC(J16*G16,2)</f>
        <v>124.17</v>
      </c>
      <c r="L16" s="206">
        <f t="shared" si="0"/>
        <v>0</v>
      </c>
      <c r="M16" s="301">
        <f t="shared" ref="M16:M22" si="5">N16/$H16*100</f>
        <v>0</v>
      </c>
      <c r="N16" s="295"/>
      <c r="O16" s="295">
        <f t="shared" ref="O16:O22" si="6">TRUNC(N16*$J16,2)</f>
        <v>0</v>
      </c>
      <c r="P16" s="302">
        <f t="shared" ref="P16:P22" si="7">Q16/$H16*100</f>
        <v>0</v>
      </c>
      <c r="Q16" s="295"/>
      <c r="R16" s="295">
        <f t="shared" ref="R16:R22" si="8">TRUNC(Q16*$J16,2)</f>
        <v>0</v>
      </c>
      <c r="S16" s="302">
        <f t="shared" ref="S16:S22" si="9">T16/$H16*100</f>
        <v>0</v>
      </c>
      <c r="T16" s="295"/>
      <c r="U16" s="295">
        <f t="shared" ref="U16:U22" si="10">TRUNC(T16*$J16,2)</f>
        <v>0</v>
      </c>
      <c r="V16" s="302">
        <f t="shared" ref="V16:V22" si="11">W16/$H16*100</f>
        <v>0</v>
      </c>
      <c r="W16" s="295"/>
      <c r="X16" s="295">
        <f t="shared" ref="X16:X22" si="12">TRUNC(W16*$J16,2)</f>
        <v>0</v>
      </c>
      <c r="Y16" s="302">
        <f t="shared" ref="Y16:Y22" si="13">Z16/$H16*100</f>
        <v>0</v>
      </c>
      <c r="Z16" s="295"/>
      <c r="AA16" s="295">
        <f t="shared" ref="AA16:AA22" si="14">TRUNC(Z16*$J16,2)</f>
        <v>0</v>
      </c>
      <c r="AB16" s="302">
        <f t="shared" ref="AB16:AB22" si="15">AC16/$H16*100</f>
        <v>0</v>
      </c>
      <c r="AC16" s="295"/>
      <c r="AD16" s="295">
        <f t="shared" ref="AD16:AD22" si="16">TRUNC(AC16*$J16,2)</f>
        <v>0</v>
      </c>
      <c r="AE16" s="302">
        <f t="shared" ref="AE16:AE22" si="17">AF16/$H16*100</f>
        <v>0</v>
      </c>
      <c r="AF16" s="295"/>
      <c r="AG16" s="295">
        <f t="shared" ref="AG16:AG22" si="18">TRUNC(AF16*$J16,2)</f>
        <v>0</v>
      </c>
      <c r="AH16" s="302">
        <f t="shared" ref="AH16:AH22" si="19">AI16/$H16*100</f>
        <v>0</v>
      </c>
      <c r="AI16" s="295"/>
      <c r="AJ16" s="295">
        <f t="shared" ref="AJ16:AJ22" si="20">TRUNC(AI16*$J16,2)</f>
        <v>0</v>
      </c>
      <c r="AK16" s="302">
        <f t="shared" ref="AK16:AK22" si="21">AL16/$H16*100</f>
        <v>0</v>
      </c>
      <c r="AL16" s="295"/>
      <c r="AM16" s="295">
        <f t="shared" ref="AM16:AM22" si="22">TRUNC(AL16*$J16,2)</f>
        <v>0</v>
      </c>
      <c r="AN16" s="302">
        <f t="shared" ref="AN16:AN22" si="23">AO16/$H16*100</f>
        <v>0</v>
      </c>
      <c r="AO16" s="295"/>
      <c r="AP16" s="295">
        <f t="shared" ref="AP16:AP22" si="24">TRUNC(AO16*$J16,2)</f>
        <v>0</v>
      </c>
      <c r="AQ16" s="302">
        <f t="shared" ref="AQ16:AQ22" si="25">AR16/$H16*100</f>
        <v>0</v>
      </c>
      <c r="AR16" s="295"/>
      <c r="AS16" s="295">
        <f t="shared" ref="AS16:AS22" si="26">TRUNC(AR16*$J16,2)</f>
        <v>0</v>
      </c>
      <c r="AT16" s="302">
        <f t="shared" ref="AT16:AT22" si="27">AU16/$H16*100</f>
        <v>0</v>
      </c>
      <c r="AU16" s="295"/>
      <c r="AV16" s="303">
        <f t="shared" ref="AV16:AV22" si="28">TRUNC(AU16*$J16,2)</f>
        <v>0</v>
      </c>
      <c r="AW16" s="302">
        <f t="shared" ref="AW16:AW22" si="29">AX16/$H16*100</f>
        <v>0</v>
      </c>
      <c r="AX16" s="295">
        <f t="shared" ref="AX16:AX22" si="30">Q16+N16+T16+W16+Z16+AC16+AF16+AI16+AL16+AO16+AR16+AU16</f>
        <v>0</v>
      </c>
      <c r="AY16" s="304">
        <f t="shared" ref="AY16:AY22" si="31">TRUNC(AX16*$J16,2)</f>
        <v>0</v>
      </c>
      <c r="AZ16" s="302">
        <f t="shared" ref="AZ16:AZ22" si="32">BA16/$H16*100</f>
        <v>100</v>
      </c>
      <c r="BA16" s="295">
        <f t="shared" ref="BA16:BA22" si="33">H16-AX16</f>
        <v>4.8</v>
      </c>
      <c r="BB16" s="304">
        <f t="shared" ref="BB16:BB22" si="34">TRUNC(BA16*$J16,2)</f>
        <v>124.17</v>
      </c>
    </row>
    <row r="17" spans="1:54" ht="15" x14ac:dyDescent="0.2">
      <c r="A17" s="39" t="s">
        <v>131</v>
      </c>
      <c r="B17" s="338" t="s">
        <v>178</v>
      </c>
      <c r="C17" s="28" t="s">
        <v>179</v>
      </c>
      <c r="D17" s="58" t="s">
        <v>180</v>
      </c>
      <c r="E17" s="28" t="s">
        <v>98</v>
      </c>
      <c r="F17" s="339">
        <v>7.7</v>
      </c>
      <c r="G17" s="44">
        <f>'Quant Ampl 02 Salas'!F8</f>
        <v>13.94</v>
      </c>
      <c r="H17" s="44">
        <f t="shared" si="1"/>
        <v>13.94</v>
      </c>
      <c r="I17" s="37">
        <f t="shared" si="2"/>
        <v>0</v>
      </c>
      <c r="J17" s="37">
        <f t="shared" si="3"/>
        <v>9.69</v>
      </c>
      <c r="K17" s="38">
        <f t="shared" si="4"/>
        <v>135.07</v>
      </c>
      <c r="L17" s="206">
        <f t="shared" si="0"/>
        <v>0</v>
      </c>
      <c r="M17" s="301">
        <f t="shared" si="5"/>
        <v>0</v>
      </c>
      <c r="N17" s="295"/>
      <c r="O17" s="295">
        <f t="shared" si="6"/>
        <v>0</v>
      </c>
      <c r="P17" s="302">
        <f t="shared" si="7"/>
        <v>0</v>
      </c>
      <c r="Q17" s="295"/>
      <c r="R17" s="295">
        <f t="shared" si="8"/>
        <v>0</v>
      </c>
      <c r="S17" s="302">
        <f t="shared" si="9"/>
        <v>0</v>
      </c>
      <c r="T17" s="295"/>
      <c r="U17" s="295">
        <f t="shared" si="10"/>
        <v>0</v>
      </c>
      <c r="V17" s="302">
        <f t="shared" si="11"/>
        <v>0</v>
      </c>
      <c r="W17" s="295"/>
      <c r="X17" s="295">
        <f t="shared" si="12"/>
        <v>0</v>
      </c>
      <c r="Y17" s="302">
        <f t="shared" si="13"/>
        <v>0</v>
      </c>
      <c r="Z17" s="295"/>
      <c r="AA17" s="295">
        <f t="shared" si="14"/>
        <v>0</v>
      </c>
      <c r="AB17" s="302">
        <f t="shared" si="15"/>
        <v>0</v>
      </c>
      <c r="AC17" s="295"/>
      <c r="AD17" s="295">
        <f t="shared" si="16"/>
        <v>0</v>
      </c>
      <c r="AE17" s="302">
        <f t="shared" si="17"/>
        <v>0</v>
      </c>
      <c r="AF17" s="295"/>
      <c r="AG17" s="295">
        <f t="shared" si="18"/>
        <v>0</v>
      </c>
      <c r="AH17" s="302">
        <f t="shared" si="19"/>
        <v>0</v>
      </c>
      <c r="AI17" s="295"/>
      <c r="AJ17" s="295">
        <f t="shared" si="20"/>
        <v>0</v>
      </c>
      <c r="AK17" s="302">
        <f t="shared" si="21"/>
        <v>0</v>
      </c>
      <c r="AL17" s="295"/>
      <c r="AM17" s="295">
        <f t="shared" si="22"/>
        <v>0</v>
      </c>
      <c r="AN17" s="302">
        <f t="shared" si="23"/>
        <v>0</v>
      </c>
      <c r="AO17" s="295"/>
      <c r="AP17" s="295">
        <f t="shared" si="24"/>
        <v>0</v>
      </c>
      <c r="AQ17" s="302">
        <f t="shared" si="25"/>
        <v>0</v>
      </c>
      <c r="AR17" s="295"/>
      <c r="AS17" s="295">
        <f t="shared" si="26"/>
        <v>0</v>
      </c>
      <c r="AT17" s="302">
        <f t="shared" si="27"/>
        <v>0</v>
      </c>
      <c r="AU17" s="295"/>
      <c r="AV17" s="303">
        <f t="shared" si="28"/>
        <v>0</v>
      </c>
      <c r="AW17" s="302">
        <f t="shared" si="29"/>
        <v>0</v>
      </c>
      <c r="AX17" s="295">
        <f t="shared" si="30"/>
        <v>0</v>
      </c>
      <c r="AY17" s="304">
        <f t="shared" si="31"/>
        <v>0</v>
      </c>
      <c r="AZ17" s="302">
        <f t="shared" si="32"/>
        <v>100</v>
      </c>
      <c r="BA17" s="295">
        <f t="shared" si="33"/>
        <v>13.94</v>
      </c>
      <c r="BB17" s="304">
        <f t="shared" si="34"/>
        <v>135.07</v>
      </c>
    </row>
    <row r="18" spans="1:54" ht="15" x14ac:dyDescent="0.2">
      <c r="A18" s="39" t="s">
        <v>135</v>
      </c>
      <c r="B18" s="37" t="s">
        <v>104</v>
      </c>
      <c r="C18" s="37" t="s">
        <v>104</v>
      </c>
      <c r="D18" s="102" t="s">
        <v>182</v>
      </c>
      <c r="E18" s="28" t="s">
        <v>119</v>
      </c>
      <c r="F18" s="405">
        <f>12.12*1.25</f>
        <v>15.149999999999999</v>
      </c>
      <c r="G18" s="44">
        <f>'Quant Ampl 02 Salas'!F9</f>
        <v>25.6</v>
      </c>
      <c r="H18" s="44">
        <f t="shared" si="1"/>
        <v>25.6</v>
      </c>
      <c r="I18" s="37">
        <f>H18-G18</f>
        <v>0</v>
      </c>
      <c r="J18" s="37">
        <f>ROUND((F18*(1+$K$8))*(1+$G$8),2)</f>
        <v>19.059999999999999</v>
      </c>
      <c r="K18" s="38">
        <f>TRUNC(J18*G18,2)</f>
        <v>487.93</v>
      </c>
      <c r="L18" s="206">
        <f>TRUNC(J18*I18,2)</f>
        <v>0</v>
      </c>
      <c r="M18" s="301">
        <f>N18/$H18*100</f>
        <v>0</v>
      </c>
      <c r="N18" s="295"/>
      <c r="O18" s="295">
        <f t="shared" si="6"/>
        <v>0</v>
      </c>
      <c r="P18" s="302">
        <f>Q18/$H18*100</f>
        <v>0</v>
      </c>
      <c r="Q18" s="295"/>
      <c r="R18" s="295">
        <f t="shared" si="8"/>
        <v>0</v>
      </c>
      <c r="S18" s="302">
        <f>T18/$H18*100</f>
        <v>0</v>
      </c>
      <c r="T18" s="295"/>
      <c r="U18" s="295">
        <f t="shared" si="10"/>
        <v>0</v>
      </c>
      <c r="V18" s="302">
        <f>W18/$H18*100</f>
        <v>0</v>
      </c>
      <c r="W18" s="295"/>
      <c r="X18" s="295">
        <f t="shared" si="12"/>
        <v>0</v>
      </c>
      <c r="Y18" s="302">
        <f>Z18/$H18*100</f>
        <v>0</v>
      </c>
      <c r="Z18" s="295"/>
      <c r="AA18" s="295">
        <f t="shared" si="14"/>
        <v>0</v>
      </c>
      <c r="AB18" s="302">
        <f>AC18/$H18*100</f>
        <v>0</v>
      </c>
      <c r="AC18" s="295"/>
      <c r="AD18" s="295">
        <f t="shared" si="16"/>
        <v>0</v>
      </c>
      <c r="AE18" s="302">
        <f>AF18/$H18*100</f>
        <v>0</v>
      </c>
      <c r="AF18" s="295"/>
      <c r="AG18" s="295">
        <f t="shared" si="18"/>
        <v>0</v>
      </c>
      <c r="AH18" s="302">
        <f>AI18/$H18*100</f>
        <v>0</v>
      </c>
      <c r="AI18" s="295"/>
      <c r="AJ18" s="295">
        <f t="shared" si="20"/>
        <v>0</v>
      </c>
      <c r="AK18" s="302">
        <f>AL18/$H18*100</f>
        <v>0</v>
      </c>
      <c r="AL18" s="295"/>
      <c r="AM18" s="295">
        <f t="shared" si="22"/>
        <v>0</v>
      </c>
      <c r="AN18" s="302">
        <f>AO18/$H18*100</f>
        <v>0</v>
      </c>
      <c r="AO18" s="295"/>
      <c r="AP18" s="295">
        <f t="shared" si="24"/>
        <v>0</v>
      </c>
      <c r="AQ18" s="302">
        <f>AR18/$H18*100</f>
        <v>0</v>
      </c>
      <c r="AR18" s="295"/>
      <c r="AS18" s="295">
        <f t="shared" si="26"/>
        <v>0</v>
      </c>
      <c r="AT18" s="302">
        <f>AU18/$H18*100</f>
        <v>0</v>
      </c>
      <c r="AU18" s="295"/>
      <c r="AV18" s="303">
        <f t="shared" si="28"/>
        <v>0</v>
      </c>
      <c r="AW18" s="302">
        <f>AX18/$H18*100</f>
        <v>0</v>
      </c>
      <c r="AX18" s="295">
        <f>Q18+N18+T18+W18+Z18+AC18+AF18+AI18+AL18+AO18+AR18+AU18</f>
        <v>0</v>
      </c>
      <c r="AY18" s="304">
        <f t="shared" si="31"/>
        <v>0</v>
      </c>
      <c r="AZ18" s="302">
        <f>BA18/$H18*100</f>
        <v>100</v>
      </c>
      <c r="BA18" s="295">
        <f>H18-AX18</f>
        <v>25.6</v>
      </c>
      <c r="BB18" s="304">
        <f t="shared" si="34"/>
        <v>487.93</v>
      </c>
    </row>
    <row r="19" spans="1:54" ht="15" x14ac:dyDescent="0.2">
      <c r="A19" s="39" t="s">
        <v>139</v>
      </c>
      <c r="B19" s="338" t="s">
        <v>184</v>
      </c>
      <c r="C19" s="28" t="s">
        <v>185</v>
      </c>
      <c r="D19" s="58" t="s">
        <v>186</v>
      </c>
      <c r="E19" s="28" t="s">
        <v>119</v>
      </c>
      <c r="F19" s="329">
        <v>3.07</v>
      </c>
      <c r="G19" s="44">
        <f>'Quant Ampl 02 Salas'!F10</f>
        <v>25.6</v>
      </c>
      <c r="H19" s="44">
        <f t="shared" si="1"/>
        <v>25.6</v>
      </c>
      <c r="I19" s="37">
        <f t="shared" si="2"/>
        <v>0</v>
      </c>
      <c r="J19" s="37">
        <f t="shared" si="3"/>
        <v>3.86</v>
      </c>
      <c r="K19" s="38">
        <f t="shared" si="4"/>
        <v>98.81</v>
      </c>
      <c r="L19" s="206">
        <f>TRUNC(J19*I19,2)</f>
        <v>0</v>
      </c>
      <c r="M19" s="301">
        <f t="shared" si="5"/>
        <v>0</v>
      </c>
      <c r="N19" s="295"/>
      <c r="O19" s="295">
        <f t="shared" si="6"/>
        <v>0</v>
      </c>
      <c r="P19" s="302">
        <f t="shared" si="7"/>
        <v>0</v>
      </c>
      <c r="Q19" s="295"/>
      <c r="R19" s="295">
        <f t="shared" si="8"/>
        <v>0</v>
      </c>
      <c r="S19" s="302">
        <f t="shared" si="9"/>
        <v>0</v>
      </c>
      <c r="T19" s="295"/>
      <c r="U19" s="295">
        <f t="shared" si="10"/>
        <v>0</v>
      </c>
      <c r="V19" s="302">
        <f t="shared" si="11"/>
        <v>0</v>
      </c>
      <c r="W19" s="295"/>
      <c r="X19" s="295">
        <f t="shared" si="12"/>
        <v>0</v>
      </c>
      <c r="Y19" s="302">
        <f t="shared" si="13"/>
        <v>0</v>
      </c>
      <c r="Z19" s="295"/>
      <c r="AA19" s="295">
        <f t="shared" si="14"/>
        <v>0</v>
      </c>
      <c r="AB19" s="302">
        <f t="shared" si="15"/>
        <v>0</v>
      </c>
      <c r="AC19" s="295"/>
      <c r="AD19" s="295">
        <f t="shared" si="16"/>
        <v>0</v>
      </c>
      <c r="AE19" s="302">
        <f t="shared" si="17"/>
        <v>0</v>
      </c>
      <c r="AF19" s="295"/>
      <c r="AG19" s="295">
        <f t="shared" si="18"/>
        <v>0</v>
      </c>
      <c r="AH19" s="302">
        <f t="shared" si="19"/>
        <v>0</v>
      </c>
      <c r="AI19" s="295"/>
      <c r="AJ19" s="295">
        <f t="shared" si="20"/>
        <v>0</v>
      </c>
      <c r="AK19" s="302">
        <f t="shared" si="21"/>
        <v>0</v>
      </c>
      <c r="AL19" s="295"/>
      <c r="AM19" s="295">
        <f t="shared" si="22"/>
        <v>0</v>
      </c>
      <c r="AN19" s="302">
        <f t="shared" si="23"/>
        <v>0</v>
      </c>
      <c r="AO19" s="295"/>
      <c r="AP19" s="295">
        <f t="shared" si="24"/>
        <v>0</v>
      </c>
      <c r="AQ19" s="302">
        <f t="shared" si="25"/>
        <v>0</v>
      </c>
      <c r="AR19" s="295"/>
      <c r="AS19" s="295">
        <f t="shared" si="26"/>
        <v>0</v>
      </c>
      <c r="AT19" s="302">
        <f t="shared" si="27"/>
        <v>0</v>
      </c>
      <c r="AU19" s="295"/>
      <c r="AV19" s="303">
        <f t="shared" si="28"/>
        <v>0</v>
      </c>
      <c r="AW19" s="302">
        <f t="shared" si="29"/>
        <v>0</v>
      </c>
      <c r="AX19" s="295">
        <f t="shared" si="30"/>
        <v>0</v>
      </c>
      <c r="AY19" s="304">
        <f t="shared" si="31"/>
        <v>0</v>
      </c>
      <c r="AZ19" s="302">
        <f t="shared" si="32"/>
        <v>100</v>
      </c>
      <c r="BA19" s="295">
        <f t="shared" si="33"/>
        <v>25.6</v>
      </c>
      <c r="BB19" s="304">
        <f t="shared" si="34"/>
        <v>98.81</v>
      </c>
    </row>
    <row r="20" spans="1:54" ht="28.5" x14ac:dyDescent="0.2">
      <c r="A20" s="39" t="s">
        <v>143</v>
      </c>
      <c r="B20" s="338" t="s">
        <v>188</v>
      </c>
      <c r="C20" s="28" t="s">
        <v>189</v>
      </c>
      <c r="D20" s="50" t="s">
        <v>190</v>
      </c>
      <c r="E20" s="28" t="s">
        <v>119</v>
      </c>
      <c r="F20" s="329">
        <v>2.93</v>
      </c>
      <c r="G20" s="44">
        <f>'Quant Ampl 02 Salas'!F11</f>
        <v>25.6</v>
      </c>
      <c r="H20" s="44">
        <f t="shared" si="1"/>
        <v>25.6</v>
      </c>
      <c r="I20" s="37">
        <f t="shared" si="2"/>
        <v>0</v>
      </c>
      <c r="J20" s="37">
        <f t="shared" si="3"/>
        <v>3.69</v>
      </c>
      <c r="K20" s="38">
        <f t="shared" si="4"/>
        <v>94.46</v>
      </c>
      <c r="L20" s="206">
        <f>TRUNC(J20*I20,2)</f>
        <v>0</v>
      </c>
      <c r="M20" s="301">
        <f t="shared" si="5"/>
        <v>0</v>
      </c>
      <c r="N20" s="295"/>
      <c r="O20" s="295">
        <f t="shared" si="6"/>
        <v>0</v>
      </c>
      <c r="P20" s="302">
        <f t="shared" si="7"/>
        <v>0</v>
      </c>
      <c r="Q20" s="295"/>
      <c r="R20" s="295">
        <f t="shared" si="8"/>
        <v>0</v>
      </c>
      <c r="S20" s="302">
        <f t="shared" si="9"/>
        <v>0</v>
      </c>
      <c r="T20" s="295"/>
      <c r="U20" s="295">
        <f t="shared" si="10"/>
        <v>0</v>
      </c>
      <c r="V20" s="302">
        <f t="shared" si="11"/>
        <v>0</v>
      </c>
      <c r="W20" s="295"/>
      <c r="X20" s="295">
        <f t="shared" si="12"/>
        <v>0</v>
      </c>
      <c r="Y20" s="302">
        <f t="shared" si="13"/>
        <v>0</v>
      </c>
      <c r="Z20" s="295"/>
      <c r="AA20" s="295">
        <f t="shared" si="14"/>
        <v>0</v>
      </c>
      <c r="AB20" s="302">
        <f t="shared" si="15"/>
        <v>0</v>
      </c>
      <c r="AC20" s="295"/>
      <c r="AD20" s="295">
        <f t="shared" si="16"/>
        <v>0</v>
      </c>
      <c r="AE20" s="302">
        <f t="shared" si="17"/>
        <v>0</v>
      </c>
      <c r="AF20" s="295"/>
      <c r="AG20" s="295">
        <f t="shared" si="18"/>
        <v>0</v>
      </c>
      <c r="AH20" s="302">
        <f t="shared" si="19"/>
        <v>0</v>
      </c>
      <c r="AI20" s="295"/>
      <c r="AJ20" s="295">
        <f t="shared" si="20"/>
        <v>0</v>
      </c>
      <c r="AK20" s="302">
        <f t="shared" si="21"/>
        <v>0</v>
      </c>
      <c r="AL20" s="295"/>
      <c r="AM20" s="295">
        <f t="shared" si="22"/>
        <v>0</v>
      </c>
      <c r="AN20" s="302">
        <f t="shared" si="23"/>
        <v>0</v>
      </c>
      <c r="AO20" s="295"/>
      <c r="AP20" s="295">
        <f t="shared" si="24"/>
        <v>0</v>
      </c>
      <c r="AQ20" s="302">
        <f t="shared" si="25"/>
        <v>0</v>
      </c>
      <c r="AR20" s="295"/>
      <c r="AS20" s="295">
        <f t="shared" si="26"/>
        <v>0</v>
      </c>
      <c r="AT20" s="302">
        <f t="shared" si="27"/>
        <v>0</v>
      </c>
      <c r="AU20" s="295"/>
      <c r="AV20" s="303">
        <f t="shared" si="28"/>
        <v>0</v>
      </c>
      <c r="AW20" s="302">
        <f t="shared" si="29"/>
        <v>0</v>
      </c>
      <c r="AX20" s="295">
        <f t="shared" si="30"/>
        <v>0</v>
      </c>
      <c r="AY20" s="304">
        <f t="shared" si="31"/>
        <v>0</v>
      </c>
      <c r="AZ20" s="302">
        <f t="shared" si="32"/>
        <v>100</v>
      </c>
      <c r="BA20" s="295">
        <f t="shared" si="33"/>
        <v>25.6</v>
      </c>
      <c r="BB20" s="304">
        <f t="shared" si="34"/>
        <v>94.46</v>
      </c>
    </row>
    <row r="21" spans="1:54" ht="15" x14ac:dyDescent="0.2">
      <c r="A21" s="39" t="s">
        <v>147</v>
      </c>
      <c r="B21" s="338" t="s">
        <v>192</v>
      </c>
      <c r="C21" s="28" t="s">
        <v>193</v>
      </c>
      <c r="D21" s="58" t="s">
        <v>194</v>
      </c>
      <c r="E21" s="28" t="s">
        <v>119</v>
      </c>
      <c r="F21" s="339">
        <v>2.75</v>
      </c>
      <c r="G21" s="44">
        <f>'Quant Ampl 02 Salas'!F12</f>
        <v>25.6</v>
      </c>
      <c r="H21" s="44">
        <f t="shared" si="1"/>
        <v>25.6</v>
      </c>
      <c r="I21" s="37">
        <f t="shared" si="2"/>
        <v>0</v>
      </c>
      <c r="J21" s="37">
        <f t="shared" si="3"/>
        <v>3.46</v>
      </c>
      <c r="K21" s="38">
        <f t="shared" si="4"/>
        <v>88.57</v>
      </c>
      <c r="L21" s="206">
        <f>TRUNC(J21*I21,2)</f>
        <v>0</v>
      </c>
      <c r="M21" s="301">
        <f t="shared" si="5"/>
        <v>0</v>
      </c>
      <c r="N21" s="295"/>
      <c r="O21" s="295">
        <f t="shared" si="6"/>
        <v>0</v>
      </c>
      <c r="P21" s="302">
        <f t="shared" si="7"/>
        <v>0</v>
      </c>
      <c r="Q21" s="295"/>
      <c r="R21" s="295">
        <f t="shared" si="8"/>
        <v>0</v>
      </c>
      <c r="S21" s="302">
        <f t="shared" si="9"/>
        <v>0</v>
      </c>
      <c r="T21" s="295"/>
      <c r="U21" s="295">
        <f t="shared" si="10"/>
        <v>0</v>
      </c>
      <c r="V21" s="302">
        <f t="shared" si="11"/>
        <v>0</v>
      </c>
      <c r="W21" s="295"/>
      <c r="X21" s="295">
        <f t="shared" si="12"/>
        <v>0</v>
      </c>
      <c r="Y21" s="302">
        <f t="shared" si="13"/>
        <v>0</v>
      </c>
      <c r="Z21" s="295"/>
      <c r="AA21" s="295">
        <f t="shared" si="14"/>
        <v>0</v>
      </c>
      <c r="AB21" s="302">
        <f t="shared" si="15"/>
        <v>0</v>
      </c>
      <c r="AC21" s="295"/>
      <c r="AD21" s="295">
        <f t="shared" si="16"/>
        <v>0</v>
      </c>
      <c r="AE21" s="302">
        <f t="shared" si="17"/>
        <v>0</v>
      </c>
      <c r="AF21" s="295"/>
      <c r="AG21" s="295">
        <f t="shared" si="18"/>
        <v>0</v>
      </c>
      <c r="AH21" s="302">
        <f t="shared" si="19"/>
        <v>0</v>
      </c>
      <c r="AI21" s="295"/>
      <c r="AJ21" s="295">
        <f t="shared" si="20"/>
        <v>0</v>
      </c>
      <c r="AK21" s="302">
        <f t="shared" si="21"/>
        <v>0</v>
      </c>
      <c r="AL21" s="295"/>
      <c r="AM21" s="295">
        <f t="shared" si="22"/>
        <v>0</v>
      </c>
      <c r="AN21" s="302">
        <f t="shared" si="23"/>
        <v>0</v>
      </c>
      <c r="AO21" s="295"/>
      <c r="AP21" s="295">
        <f t="shared" si="24"/>
        <v>0</v>
      </c>
      <c r="AQ21" s="302">
        <f t="shared" si="25"/>
        <v>0</v>
      </c>
      <c r="AR21" s="295"/>
      <c r="AS21" s="295">
        <f t="shared" si="26"/>
        <v>0</v>
      </c>
      <c r="AT21" s="302">
        <f t="shared" si="27"/>
        <v>0</v>
      </c>
      <c r="AU21" s="295"/>
      <c r="AV21" s="303">
        <f t="shared" si="28"/>
        <v>0</v>
      </c>
      <c r="AW21" s="302">
        <f t="shared" si="29"/>
        <v>0</v>
      </c>
      <c r="AX21" s="295">
        <f t="shared" si="30"/>
        <v>0</v>
      </c>
      <c r="AY21" s="304">
        <f t="shared" si="31"/>
        <v>0</v>
      </c>
      <c r="AZ21" s="302">
        <f t="shared" si="32"/>
        <v>100</v>
      </c>
      <c r="BA21" s="295">
        <f t="shared" si="33"/>
        <v>25.6</v>
      </c>
      <c r="BB21" s="304">
        <f t="shared" si="34"/>
        <v>88.57</v>
      </c>
    </row>
    <row r="22" spans="1:54" ht="15" x14ac:dyDescent="0.2">
      <c r="A22" s="39" t="s">
        <v>151</v>
      </c>
      <c r="B22" s="338" t="s">
        <v>196</v>
      </c>
      <c r="C22" s="28" t="s">
        <v>197</v>
      </c>
      <c r="D22" s="58" t="s">
        <v>198</v>
      </c>
      <c r="E22" s="28" t="s">
        <v>119</v>
      </c>
      <c r="F22" s="339">
        <v>2.31</v>
      </c>
      <c r="G22" s="44">
        <f>'Quant Ampl 02 Salas'!F13</f>
        <v>2.4</v>
      </c>
      <c r="H22" s="44">
        <f t="shared" si="1"/>
        <v>2.4</v>
      </c>
      <c r="I22" s="37">
        <f t="shared" si="2"/>
        <v>0</v>
      </c>
      <c r="J22" s="37">
        <f t="shared" si="3"/>
        <v>2.91</v>
      </c>
      <c r="K22" s="38">
        <f t="shared" si="4"/>
        <v>6.98</v>
      </c>
      <c r="L22" s="206">
        <f t="shared" si="0"/>
        <v>0</v>
      </c>
      <c r="M22" s="301">
        <f t="shared" si="5"/>
        <v>0</v>
      </c>
      <c r="N22" s="295"/>
      <c r="O22" s="295">
        <f t="shared" si="6"/>
        <v>0</v>
      </c>
      <c r="P22" s="302">
        <f t="shared" si="7"/>
        <v>0</v>
      </c>
      <c r="Q22" s="295"/>
      <c r="R22" s="295">
        <f t="shared" si="8"/>
        <v>0</v>
      </c>
      <c r="S22" s="302">
        <f t="shared" si="9"/>
        <v>0</v>
      </c>
      <c r="T22" s="295"/>
      <c r="U22" s="295">
        <f t="shared" si="10"/>
        <v>0</v>
      </c>
      <c r="V22" s="302">
        <f t="shared" si="11"/>
        <v>0</v>
      </c>
      <c r="W22" s="295"/>
      <c r="X22" s="295">
        <f t="shared" si="12"/>
        <v>0</v>
      </c>
      <c r="Y22" s="302">
        <f t="shared" si="13"/>
        <v>0</v>
      </c>
      <c r="Z22" s="295"/>
      <c r="AA22" s="295">
        <f t="shared" si="14"/>
        <v>0</v>
      </c>
      <c r="AB22" s="302">
        <f t="shared" si="15"/>
        <v>0</v>
      </c>
      <c r="AC22" s="295"/>
      <c r="AD22" s="295">
        <f t="shared" si="16"/>
        <v>0</v>
      </c>
      <c r="AE22" s="302">
        <f t="shared" si="17"/>
        <v>0</v>
      </c>
      <c r="AF22" s="295"/>
      <c r="AG22" s="295">
        <f t="shared" si="18"/>
        <v>0</v>
      </c>
      <c r="AH22" s="302">
        <f t="shared" si="19"/>
        <v>0</v>
      </c>
      <c r="AI22" s="295"/>
      <c r="AJ22" s="295">
        <f t="shared" si="20"/>
        <v>0</v>
      </c>
      <c r="AK22" s="302">
        <f t="shared" si="21"/>
        <v>0</v>
      </c>
      <c r="AL22" s="295"/>
      <c r="AM22" s="295">
        <f t="shared" si="22"/>
        <v>0</v>
      </c>
      <c r="AN22" s="302">
        <f t="shared" si="23"/>
        <v>0</v>
      </c>
      <c r="AO22" s="295"/>
      <c r="AP22" s="295">
        <f t="shared" si="24"/>
        <v>0</v>
      </c>
      <c r="AQ22" s="302">
        <f t="shared" si="25"/>
        <v>0</v>
      </c>
      <c r="AR22" s="295"/>
      <c r="AS22" s="295">
        <f t="shared" si="26"/>
        <v>0</v>
      </c>
      <c r="AT22" s="302">
        <f t="shared" si="27"/>
        <v>0</v>
      </c>
      <c r="AU22" s="295"/>
      <c r="AV22" s="303">
        <f t="shared" si="28"/>
        <v>0</v>
      </c>
      <c r="AW22" s="302">
        <f t="shared" si="29"/>
        <v>0</v>
      </c>
      <c r="AX22" s="295">
        <f t="shared" si="30"/>
        <v>0</v>
      </c>
      <c r="AY22" s="304">
        <f t="shared" si="31"/>
        <v>0</v>
      </c>
      <c r="AZ22" s="302">
        <f t="shared" si="32"/>
        <v>100</v>
      </c>
      <c r="BA22" s="295">
        <f t="shared" si="33"/>
        <v>2.4</v>
      </c>
      <c r="BB22" s="304">
        <f t="shared" si="34"/>
        <v>6.98</v>
      </c>
    </row>
    <row r="23" spans="1:54" ht="15" customHeight="1" x14ac:dyDescent="0.2">
      <c r="A23" s="34"/>
      <c r="B23" s="45"/>
      <c r="C23" s="45"/>
      <c r="D23" s="41"/>
      <c r="E23" s="45"/>
      <c r="F23" s="242"/>
      <c r="G23" s="37"/>
      <c r="H23" s="642" t="s">
        <v>125</v>
      </c>
      <c r="I23" s="642"/>
      <c r="J23" s="642"/>
      <c r="K23" s="43">
        <f>SUM(K16:K22)</f>
        <v>1035.99</v>
      </c>
      <c r="L23" s="43">
        <f>SUM(L16:L22)</f>
        <v>0</v>
      </c>
      <c r="M23" s="648" t="s">
        <v>125</v>
      </c>
      <c r="N23" s="642"/>
      <c r="O23" s="172">
        <f>SUM(O16:O22)</f>
        <v>0</v>
      </c>
      <c r="P23" s="641" t="s">
        <v>125</v>
      </c>
      <c r="Q23" s="642"/>
      <c r="R23" s="172">
        <f>SUM(R16:R22)</f>
        <v>0</v>
      </c>
      <c r="S23" s="641" t="s">
        <v>125</v>
      </c>
      <c r="T23" s="642"/>
      <c r="U23" s="172">
        <f>SUM(U16:U22)</f>
        <v>0</v>
      </c>
      <c r="V23" s="641" t="s">
        <v>125</v>
      </c>
      <c r="W23" s="642"/>
      <c r="X23" s="172">
        <f>SUM(X16:X22)</f>
        <v>0</v>
      </c>
      <c r="Y23" s="641" t="s">
        <v>125</v>
      </c>
      <c r="Z23" s="642"/>
      <c r="AA23" s="172">
        <f>SUM(AA16:AA22)</f>
        <v>0</v>
      </c>
      <c r="AB23" s="641" t="s">
        <v>125</v>
      </c>
      <c r="AC23" s="642"/>
      <c r="AD23" s="172">
        <f>SUM(AD16:AD22)</f>
        <v>0</v>
      </c>
      <c r="AE23" s="641" t="s">
        <v>125</v>
      </c>
      <c r="AF23" s="642"/>
      <c r="AG23" s="172">
        <f>SUM(AG16:AG22)</f>
        <v>0</v>
      </c>
      <c r="AH23" s="641" t="s">
        <v>125</v>
      </c>
      <c r="AI23" s="642"/>
      <c r="AJ23" s="172">
        <f>SUM(AJ16:AJ22)</f>
        <v>0</v>
      </c>
      <c r="AK23" s="641" t="s">
        <v>125</v>
      </c>
      <c r="AL23" s="642"/>
      <c r="AM23" s="172">
        <f>SUM(AM16:AM22)</f>
        <v>0</v>
      </c>
      <c r="AN23" s="641" t="s">
        <v>125</v>
      </c>
      <c r="AO23" s="642"/>
      <c r="AP23" s="172">
        <f>SUM(AP16:AP22)</f>
        <v>0</v>
      </c>
      <c r="AQ23" s="641" t="s">
        <v>125</v>
      </c>
      <c r="AR23" s="642"/>
      <c r="AS23" s="172">
        <f>SUM(AS16:AS22)</f>
        <v>0</v>
      </c>
      <c r="AT23" s="641" t="s">
        <v>125</v>
      </c>
      <c r="AU23" s="642"/>
      <c r="AV23" s="173">
        <f>SUM(AV16:AV22)</f>
        <v>0</v>
      </c>
      <c r="AW23" s="641" t="s">
        <v>125</v>
      </c>
      <c r="AX23" s="642"/>
      <c r="AY23" s="43">
        <f>SUM(AY16:AY22)</f>
        <v>0</v>
      </c>
      <c r="AZ23" s="641" t="s">
        <v>125</v>
      </c>
      <c r="BA23" s="642"/>
      <c r="BB23" s="43">
        <f>SUM(BB16:BB22)</f>
        <v>1035.99</v>
      </c>
    </row>
    <row r="24" spans="1:54" ht="15" x14ac:dyDescent="0.2">
      <c r="A24" s="34" t="s">
        <v>171</v>
      </c>
      <c r="B24" s="46"/>
      <c r="C24" s="46"/>
      <c r="D24" s="27" t="s">
        <v>200</v>
      </c>
      <c r="E24" s="45"/>
      <c r="F24" s="242"/>
      <c r="G24" s="385"/>
      <c r="H24" s="385"/>
      <c r="I24" s="385"/>
      <c r="J24" s="37"/>
      <c r="K24" s="38"/>
      <c r="L24" s="206"/>
      <c r="M24" s="301"/>
      <c r="N24" s="295"/>
      <c r="O24" s="295"/>
      <c r="P24" s="302"/>
      <c r="Q24" s="295"/>
      <c r="R24" s="295"/>
      <c r="S24" s="302"/>
      <c r="T24" s="295"/>
      <c r="U24" s="295"/>
      <c r="V24" s="302"/>
      <c r="W24" s="295"/>
      <c r="X24" s="295"/>
      <c r="Y24" s="302"/>
      <c r="Z24" s="295"/>
      <c r="AA24" s="295"/>
      <c r="AB24" s="302"/>
      <c r="AC24" s="295"/>
      <c r="AD24" s="295"/>
      <c r="AE24" s="302"/>
      <c r="AF24" s="295"/>
      <c r="AG24" s="295"/>
      <c r="AH24" s="302"/>
      <c r="AI24" s="295"/>
      <c r="AJ24" s="295"/>
      <c r="AK24" s="302"/>
      <c r="AL24" s="295"/>
      <c r="AM24" s="295"/>
      <c r="AN24" s="302"/>
      <c r="AO24" s="295"/>
      <c r="AP24" s="295"/>
      <c r="AQ24" s="302"/>
      <c r="AR24" s="295"/>
      <c r="AS24" s="295"/>
      <c r="AT24" s="302"/>
      <c r="AU24" s="295"/>
      <c r="AV24" s="303"/>
      <c r="AW24" s="302"/>
      <c r="AX24" s="295"/>
      <c r="AY24" s="304"/>
      <c r="AZ24" s="302"/>
      <c r="BA24" s="295"/>
      <c r="BB24" s="304"/>
    </row>
    <row r="25" spans="1:54" ht="15" x14ac:dyDescent="0.2">
      <c r="A25" s="39" t="s">
        <v>173</v>
      </c>
      <c r="B25" s="338" t="s">
        <v>202</v>
      </c>
      <c r="C25" s="28" t="s">
        <v>203</v>
      </c>
      <c r="D25" s="58" t="s">
        <v>204</v>
      </c>
      <c r="E25" s="28" t="s">
        <v>119</v>
      </c>
      <c r="F25" s="339">
        <v>251.87</v>
      </c>
      <c r="G25" s="44">
        <f>'Quant Ampl 02 Salas'!F17</f>
        <v>0.7</v>
      </c>
      <c r="H25" s="44">
        <f t="shared" ref="H25:H30" si="35">G25</f>
        <v>0.7</v>
      </c>
      <c r="I25" s="37">
        <f t="shared" ref="I25:I30" si="36">H25-G25</f>
        <v>0</v>
      </c>
      <c r="J25" s="37">
        <f t="shared" ref="J25:J30" si="37">ROUND((F25*(1+$K$8))*(1+$G$8),2)</f>
        <v>316.88</v>
      </c>
      <c r="K25" s="38">
        <f t="shared" ref="K25:K30" si="38">TRUNC(J25*G25,2)</f>
        <v>221.81</v>
      </c>
      <c r="L25" s="206">
        <f t="shared" si="0"/>
        <v>0</v>
      </c>
      <c r="M25" s="301">
        <f t="shared" ref="M25:M30" si="39">N25/$H25*100</f>
        <v>0</v>
      </c>
      <c r="N25" s="295"/>
      <c r="O25" s="295">
        <f t="shared" ref="O25:O30" si="40">TRUNC(N25*$J25,2)</f>
        <v>0</v>
      </c>
      <c r="P25" s="302">
        <f t="shared" ref="P25:P30" si="41">Q25/$H25*100</f>
        <v>0</v>
      </c>
      <c r="Q25" s="295"/>
      <c r="R25" s="295">
        <f t="shared" ref="R25:R30" si="42">TRUNC(Q25*$J25,2)</f>
        <v>0</v>
      </c>
      <c r="S25" s="302">
        <f t="shared" ref="S25:S30" si="43">T25/$H25*100</f>
        <v>0</v>
      </c>
      <c r="T25" s="295"/>
      <c r="U25" s="295">
        <f t="shared" ref="U25:U30" si="44">TRUNC(T25*$J25,2)</f>
        <v>0</v>
      </c>
      <c r="V25" s="302">
        <f t="shared" ref="V25:V30" si="45">W25/$H25*100</f>
        <v>0</v>
      </c>
      <c r="W25" s="295"/>
      <c r="X25" s="295">
        <f t="shared" ref="X25:X30" si="46">TRUNC(W25*$J25,2)</f>
        <v>0</v>
      </c>
      <c r="Y25" s="302">
        <f t="shared" ref="Y25:Y30" si="47">Z25/$H25*100</f>
        <v>0</v>
      </c>
      <c r="Z25" s="295"/>
      <c r="AA25" s="295">
        <f t="shared" ref="AA25:AA30" si="48">TRUNC(Z25*$J25,2)</f>
        <v>0</v>
      </c>
      <c r="AB25" s="302">
        <f t="shared" ref="AB25:AB30" si="49">AC25/$H25*100</f>
        <v>0</v>
      </c>
      <c r="AC25" s="295"/>
      <c r="AD25" s="295">
        <f t="shared" ref="AD25:AD30" si="50">TRUNC(AC25*$J25,2)</f>
        <v>0</v>
      </c>
      <c r="AE25" s="302">
        <f t="shared" ref="AE25:AE30" si="51">AF25/$H25*100</f>
        <v>0</v>
      </c>
      <c r="AF25" s="295"/>
      <c r="AG25" s="295">
        <f t="shared" ref="AG25:AG30" si="52">TRUNC(AF25*$J25,2)</f>
        <v>0</v>
      </c>
      <c r="AH25" s="302">
        <f t="shared" ref="AH25:AH30" si="53">AI25/$H25*100</f>
        <v>0</v>
      </c>
      <c r="AI25" s="295"/>
      <c r="AJ25" s="295">
        <f t="shared" ref="AJ25:AJ30" si="54">TRUNC(AI25*$J25,2)</f>
        <v>0</v>
      </c>
      <c r="AK25" s="302">
        <f t="shared" ref="AK25:AK30" si="55">AL25/$H25*100</f>
        <v>0</v>
      </c>
      <c r="AL25" s="295"/>
      <c r="AM25" s="295">
        <f t="shared" ref="AM25:AM30" si="56">TRUNC(AL25*$J25,2)</f>
        <v>0</v>
      </c>
      <c r="AN25" s="302">
        <f t="shared" ref="AN25:AN30" si="57">AO25/$H25*100</f>
        <v>0</v>
      </c>
      <c r="AO25" s="295"/>
      <c r="AP25" s="295">
        <f t="shared" ref="AP25:AP30" si="58">TRUNC(AO25*$J25,2)</f>
        <v>0</v>
      </c>
      <c r="AQ25" s="302">
        <f t="shared" ref="AQ25:AQ30" si="59">AR25/$H25*100</f>
        <v>0</v>
      </c>
      <c r="AR25" s="295"/>
      <c r="AS25" s="295">
        <f t="shared" ref="AS25:AS30" si="60">TRUNC(AR25*$J25,2)</f>
        <v>0</v>
      </c>
      <c r="AT25" s="302">
        <f t="shared" ref="AT25:AT30" si="61">AU25/$H25*100</f>
        <v>0</v>
      </c>
      <c r="AU25" s="295"/>
      <c r="AV25" s="303">
        <f t="shared" ref="AV25:AV30" si="62">TRUNC(AU25*$J25,2)</f>
        <v>0</v>
      </c>
      <c r="AW25" s="302">
        <f t="shared" ref="AW25:AW30" si="63">AX25/$H25*100</f>
        <v>0</v>
      </c>
      <c r="AX25" s="295">
        <f t="shared" ref="AX25:AX30" si="64">Q25+N25+T25+W25+Z25+AC25+AF25+AI25+AL25+AO25+AR25+AU25</f>
        <v>0</v>
      </c>
      <c r="AY25" s="304">
        <f t="shared" ref="AY25:AY30" si="65">TRUNC(AX25*$J25,2)</f>
        <v>0</v>
      </c>
      <c r="AZ25" s="302">
        <f t="shared" ref="AZ25:AZ30" si="66">BA25/$H25*100</f>
        <v>100</v>
      </c>
      <c r="BA25" s="295">
        <f t="shared" ref="BA25:BA30" si="67">H25-AX25</f>
        <v>0.7</v>
      </c>
      <c r="BB25" s="304">
        <f t="shared" ref="BB25:BB30" si="68">TRUNC(BA25*$J25,2)</f>
        <v>221.81</v>
      </c>
    </row>
    <row r="26" spans="1:54" ht="28.5" x14ac:dyDescent="0.2">
      <c r="A26" s="39" t="s">
        <v>177</v>
      </c>
      <c r="B26" s="338" t="s">
        <v>206</v>
      </c>
      <c r="C26" s="28" t="s">
        <v>207</v>
      </c>
      <c r="D26" s="50" t="s">
        <v>208</v>
      </c>
      <c r="E26" s="28" t="s">
        <v>119</v>
      </c>
      <c r="F26" s="339">
        <v>248.73</v>
      </c>
      <c r="G26" s="44">
        <f>'Quant Ampl 02 Salas'!F18</f>
        <v>5.76</v>
      </c>
      <c r="H26" s="44">
        <f t="shared" si="35"/>
        <v>5.76</v>
      </c>
      <c r="I26" s="37">
        <f t="shared" si="36"/>
        <v>0</v>
      </c>
      <c r="J26" s="37">
        <f t="shared" si="37"/>
        <v>312.93</v>
      </c>
      <c r="K26" s="38">
        <f t="shared" si="38"/>
        <v>1802.47</v>
      </c>
      <c r="L26" s="206">
        <f t="shared" si="0"/>
        <v>0</v>
      </c>
      <c r="M26" s="301">
        <f t="shared" si="39"/>
        <v>0</v>
      </c>
      <c r="N26" s="295"/>
      <c r="O26" s="295">
        <f t="shared" si="40"/>
        <v>0</v>
      </c>
      <c r="P26" s="302">
        <f t="shared" si="41"/>
        <v>0</v>
      </c>
      <c r="Q26" s="295"/>
      <c r="R26" s="295">
        <f t="shared" si="42"/>
        <v>0</v>
      </c>
      <c r="S26" s="302">
        <f t="shared" si="43"/>
        <v>0</v>
      </c>
      <c r="T26" s="295"/>
      <c r="U26" s="295">
        <f t="shared" si="44"/>
        <v>0</v>
      </c>
      <c r="V26" s="302">
        <f t="shared" si="45"/>
        <v>0</v>
      </c>
      <c r="W26" s="295"/>
      <c r="X26" s="295">
        <f t="shared" si="46"/>
        <v>0</v>
      </c>
      <c r="Y26" s="302">
        <f t="shared" si="47"/>
        <v>0</v>
      </c>
      <c r="Z26" s="295"/>
      <c r="AA26" s="295">
        <f t="shared" si="48"/>
        <v>0</v>
      </c>
      <c r="AB26" s="302">
        <f t="shared" si="49"/>
        <v>0</v>
      </c>
      <c r="AC26" s="295"/>
      <c r="AD26" s="295">
        <f t="shared" si="50"/>
        <v>0</v>
      </c>
      <c r="AE26" s="302">
        <f t="shared" si="51"/>
        <v>0</v>
      </c>
      <c r="AF26" s="295"/>
      <c r="AG26" s="295">
        <f t="shared" si="52"/>
        <v>0</v>
      </c>
      <c r="AH26" s="302">
        <f t="shared" si="53"/>
        <v>0</v>
      </c>
      <c r="AI26" s="295"/>
      <c r="AJ26" s="295">
        <f t="shared" si="54"/>
        <v>0</v>
      </c>
      <c r="AK26" s="302">
        <f t="shared" si="55"/>
        <v>0</v>
      </c>
      <c r="AL26" s="295"/>
      <c r="AM26" s="295">
        <f t="shared" si="56"/>
        <v>0</v>
      </c>
      <c r="AN26" s="302">
        <f t="shared" si="57"/>
        <v>0</v>
      </c>
      <c r="AO26" s="295"/>
      <c r="AP26" s="295">
        <f t="shared" si="58"/>
        <v>0</v>
      </c>
      <c r="AQ26" s="302">
        <f t="shared" si="59"/>
        <v>0</v>
      </c>
      <c r="AR26" s="295"/>
      <c r="AS26" s="295">
        <f t="shared" si="60"/>
        <v>0</v>
      </c>
      <c r="AT26" s="302">
        <f t="shared" si="61"/>
        <v>0</v>
      </c>
      <c r="AU26" s="295"/>
      <c r="AV26" s="303">
        <f t="shared" si="62"/>
        <v>0</v>
      </c>
      <c r="AW26" s="302">
        <f t="shared" si="63"/>
        <v>0</v>
      </c>
      <c r="AX26" s="295">
        <f t="shared" si="64"/>
        <v>0</v>
      </c>
      <c r="AY26" s="304">
        <f t="shared" si="65"/>
        <v>0</v>
      </c>
      <c r="AZ26" s="302">
        <f t="shared" si="66"/>
        <v>100</v>
      </c>
      <c r="BA26" s="295">
        <f t="shared" si="67"/>
        <v>5.76</v>
      </c>
      <c r="BB26" s="304">
        <f t="shared" si="68"/>
        <v>1802.47</v>
      </c>
    </row>
    <row r="27" spans="1:54" ht="15" x14ac:dyDescent="0.2">
      <c r="A27" s="39" t="s">
        <v>181</v>
      </c>
      <c r="B27" s="338" t="s">
        <v>210</v>
      </c>
      <c r="C27" s="28" t="s">
        <v>211</v>
      </c>
      <c r="D27" s="58" t="s">
        <v>212</v>
      </c>
      <c r="E27" s="28" t="s">
        <v>119</v>
      </c>
      <c r="F27" s="339">
        <v>50.12</v>
      </c>
      <c r="G27" s="44">
        <f>'Quant Ampl 02 Salas'!F19</f>
        <v>5.76</v>
      </c>
      <c r="H27" s="44">
        <f t="shared" si="35"/>
        <v>5.76</v>
      </c>
      <c r="I27" s="37">
        <f t="shared" si="36"/>
        <v>0</v>
      </c>
      <c r="J27" s="37">
        <f t="shared" si="37"/>
        <v>63.06</v>
      </c>
      <c r="K27" s="38">
        <f t="shared" si="38"/>
        <v>363.22</v>
      </c>
      <c r="L27" s="206">
        <f>TRUNC(J27*I27,2)</f>
        <v>0</v>
      </c>
      <c r="M27" s="301">
        <f t="shared" si="39"/>
        <v>0</v>
      </c>
      <c r="N27" s="295"/>
      <c r="O27" s="295">
        <f t="shared" si="40"/>
        <v>0</v>
      </c>
      <c r="P27" s="302">
        <f t="shared" si="41"/>
        <v>0</v>
      </c>
      <c r="Q27" s="295"/>
      <c r="R27" s="295">
        <f t="shared" si="42"/>
        <v>0</v>
      </c>
      <c r="S27" s="302">
        <f t="shared" si="43"/>
        <v>0</v>
      </c>
      <c r="T27" s="295"/>
      <c r="U27" s="295">
        <f t="shared" si="44"/>
        <v>0</v>
      </c>
      <c r="V27" s="302">
        <f t="shared" si="45"/>
        <v>0</v>
      </c>
      <c r="W27" s="295"/>
      <c r="X27" s="295">
        <f t="shared" si="46"/>
        <v>0</v>
      </c>
      <c r="Y27" s="302">
        <f t="shared" si="47"/>
        <v>0</v>
      </c>
      <c r="Z27" s="295"/>
      <c r="AA27" s="295">
        <f t="shared" si="48"/>
        <v>0</v>
      </c>
      <c r="AB27" s="302">
        <f t="shared" si="49"/>
        <v>0</v>
      </c>
      <c r="AC27" s="295"/>
      <c r="AD27" s="295">
        <f t="shared" si="50"/>
        <v>0</v>
      </c>
      <c r="AE27" s="302">
        <f t="shared" si="51"/>
        <v>0</v>
      </c>
      <c r="AF27" s="295"/>
      <c r="AG27" s="295">
        <f t="shared" si="52"/>
        <v>0</v>
      </c>
      <c r="AH27" s="302">
        <f t="shared" si="53"/>
        <v>0</v>
      </c>
      <c r="AI27" s="295"/>
      <c r="AJ27" s="295">
        <f t="shared" si="54"/>
        <v>0</v>
      </c>
      <c r="AK27" s="302">
        <f t="shared" si="55"/>
        <v>0</v>
      </c>
      <c r="AL27" s="295"/>
      <c r="AM27" s="295">
        <f t="shared" si="56"/>
        <v>0</v>
      </c>
      <c r="AN27" s="302">
        <f t="shared" si="57"/>
        <v>0</v>
      </c>
      <c r="AO27" s="295"/>
      <c r="AP27" s="295">
        <f t="shared" si="58"/>
        <v>0</v>
      </c>
      <c r="AQ27" s="302">
        <f t="shared" si="59"/>
        <v>0</v>
      </c>
      <c r="AR27" s="295"/>
      <c r="AS27" s="295">
        <f t="shared" si="60"/>
        <v>0</v>
      </c>
      <c r="AT27" s="302">
        <f t="shared" si="61"/>
        <v>0</v>
      </c>
      <c r="AU27" s="295"/>
      <c r="AV27" s="303">
        <f t="shared" si="62"/>
        <v>0</v>
      </c>
      <c r="AW27" s="302">
        <f t="shared" si="63"/>
        <v>0</v>
      </c>
      <c r="AX27" s="295">
        <f t="shared" si="64"/>
        <v>0</v>
      </c>
      <c r="AY27" s="304">
        <f t="shared" si="65"/>
        <v>0</v>
      </c>
      <c r="AZ27" s="302">
        <f t="shared" si="66"/>
        <v>100</v>
      </c>
      <c r="BA27" s="295">
        <f t="shared" si="67"/>
        <v>5.76</v>
      </c>
      <c r="BB27" s="304">
        <f t="shared" si="68"/>
        <v>363.22</v>
      </c>
    </row>
    <row r="28" spans="1:54" ht="15" x14ac:dyDescent="0.2">
      <c r="A28" s="39" t="s">
        <v>183</v>
      </c>
      <c r="B28" s="338" t="s">
        <v>214</v>
      </c>
      <c r="C28" s="28" t="s">
        <v>215</v>
      </c>
      <c r="D28" s="58" t="s">
        <v>216</v>
      </c>
      <c r="E28" s="28" t="s">
        <v>98</v>
      </c>
      <c r="F28" s="339">
        <v>31.97</v>
      </c>
      <c r="G28" s="44">
        <f>'Quant Ampl 02 Salas'!F20</f>
        <v>56.7</v>
      </c>
      <c r="H28" s="44">
        <f t="shared" si="35"/>
        <v>56.7</v>
      </c>
      <c r="I28" s="37">
        <f t="shared" si="36"/>
        <v>0</v>
      </c>
      <c r="J28" s="37">
        <f t="shared" si="37"/>
        <v>40.22</v>
      </c>
      <c r="K28" s="38">
        <f t="shared" si="38"/>
        <v>2280.4699999999998</v>
      </c>
      <c r="L28" s="206">
        <f t="shared" si="0"/>
        <v>0</v>
      </c>
      <c r="M28" s="301">
        <f t="shared" si="39"/>
        <v>0</v>
      </c>
      <c r="N28" s="295"/>
      <c r="O28" s="295">
        <f t="shared" si="40"/>
        <v>0</v>
      </c>
      <c r="P28" s="302">
        <f t="shared" si="41"/>
        <v>0</v>
      </c>
      <c r="Q28" s="295"/>
      <c r="R28" s="295">
        <f t="shared" si="42"/>
        <v>0</v>
      </c>
      <c r="S28" s="302">
        <f t="shared" si="43"/>
        <v>0</v>
      </c>
      <c r="T28" s="295"/>
      <c r="U28" s="295">
        <f t="shared" si="44"/>
        <v>0</v>
      </c>
      <c r="V28" s="302">
        <f t="shared" si="45"/>
        <v>0</v>
      </c>
      <c r="W28" s="295"/>
      <c r="X28" s="295">
        <f t="shared" si="46"/>
        <v>0</v>
      </c>
      <c r="Y28" s="302">
        <f t="shared" si="47"/>
        <v>0</v>
      </c>
      <c r="Z28" s="295"/>
      <c r="AA28" s="295">
        <f t="shared" si="48"/>
        <v>0</v>
      </c>
      <c r="AB28" s="302">
        <f t="shared" si="49"/>
        <v>0</v>
      </c>
      <c r="AC28" s="295"/>
      <c r="AD28" s="295">
        <f t="shared" si="50"/>
        <v>0</v>
      </c>
      <c r="AE28" s="302">
        <f t="shared" si="51"/>
        <v>0</v>
      </c>
      <c r="AF28" s="295"/>
      <c r="AG28" s="295">
        <f t="shared" si="52"/>
        <v>0</v>
      </c>
      <c r="AH28" s="302">
        <f t="shared" si="53"/>
        <v>0</v>
      </c>
      <c r="AI28" s="295"/>
      <c r="AJ28" s="295">
        <f t="shared" si="54"/>
        <v>0</v>
      </c>
      <c r="AK28" s="302">
        <f t="shared" si="55"/>
        <v>0</v>
      </c>
      <c r="AL28" s="295"/>
      <c r="AM28" s="295">
        <f t="shared" si="56"/>
        <v>0</v>
      </c>
      <c r="AN28" s="302">
        <f t="shared" si="57"/>
        <v>0</v>
      </c>
      <c r="AO28" s="295"/>
      <c r="AP28" s="295">
        <f t="shared" si="58"/>
        <v>0</v>
      </c>
      <c r="AQ28" s="302">
        <f t="shared" si="59"/>
        <v>0</v>
      </c>
      <c r="AR28" s="295"/>
      <c r="AS28" s="295">
        <f t="shared" si="60"/>
        <v>0</v>
      </c>
      <c r="AT28" s="302">
        <f t="shared" si="61"/>
        <v>0</v>
      </c>
      <c r="AU28" s="295"/>
      <c r="AV28" s="303">
        <f t="shared" si="62"/>
        <v>0</v>
      </c>
      <c r="AW28" s="302">
        <f t="shared" si="63"/>
        <v>0</v>
      </c>
      <c r="AX28" s="295">
        <f t="shared" si="64"/>
        <v>0</v>
      </c>
      <c r="AY28" s="304">
        <f t="shared" si="65"/>
        <v>0</v>
      </c>
      <c r="AZ28" s="302">
        <f t="shared" si="66"/>
        <v>100</v>
      </c>
      <c r="BA28" s="295">
        <f t="shared" si="67"/>
        <v>56.7</v>
      </c>
      <c r="BB28" s="304">
        <f t="shared" si="68"/>
        <v>2280.4699999999998</v>
      </c>
    </row>
    <row r="29" spans="1:54" ht="15" x14ac:dyDescent="0.2">
      <c r="A29" s="39" t="s">
        <v>187</v>
      </c>
      <c r="B29" s="338" t="s">
        <v>218</v>
      </c>
      <c r="C29" s="28" t="s">
        <v>219</v>
      </c>
      <c r="D29" s="345" t="s">
        <v>220</v>
      </c>
      <c r="E29" s="28" t="s">
        <v>221</v>
      </c>
      <c r="F29" s="339">
        <v>7.39</v>
      </c>
      <c r="G29" s="44">
        <f>'Quant Ampl 02 Salas'!F21</f>
        <v>368.93</v>
      </c>
      <c r="H29" s="44">
        <f t="shared" si="35"/>
        <v>368.93</v>
      </c>
      <c r="I29" s="37">
        <f t="shared" si="36"/>
        <v>0</v>
      </c>
      <c r="J29" s="37">
        <f t="shared" si="37"/>
        <v>9.3000000000000007</v>
      </c>
      <c r="K29" s="38">
        <f t="shared" si="38"/>
        <v>3431.04</v>
      </c>
      <c r="L29" s="206">
        <f t="shared" si="0"/>
        <v>0</v>
      </c>
      <c r="M29" s="301">
        <f t="shared" si="39"/>
        <v>0</v>
      </c>
      <c r="N29" s="295"/>
      <c r="O29" s="295">
        <f t="shared" si="40"/>
        <v>0</v>
      </c>
      <c r="P29" s="302">
        <f t="shared" si="41"/>
        <v>0</v>
      </c>
      <c r="Q29" s="295"/>
      <c r="R29" s="295">
        <f t="shared" si="42"/>
        <v>0</v>
      </c>
      <c r="S29" s="302">
        <f t="shared" si="43"/>
        <v>0</v>
      </c>
      <c r="T29" s="295"/>
      <c r="U29" s="295">
        <f t="shared" si="44"/>
        <v>0</v>
      </c>
      <c r="V29" s="302">
        <f t="shared" si="45"/>
        <v>0</v>
      </c>
      <c r="W29" s="295"/>
      <c r="X29" s="295">
        <f t="shared" si="46"/>
        <v>0</v>
      </c>
      <c r="Y29" s="302">
        <f t="shared" si="47"/>
        <v>0</v>
      </c>
      <c r="Z29" s="295"/>
      <c r="AA29" s="295">
        <f t="shared" si="48"/>
        <v>0</v>
      </c>
      <c r="AB29" s="302">
        <f t="shared" si="49"/>
        <v>0</v>
      </c>
      <c r="AC29" s="295"/>
      <c r="AD29" s="295">
        <f t="shared" si="50"/>
        <v>0</v>
      </c>
      <c r="AE29" s="302">
        <f t="shared" si="51"/>
        <v>0</v>
      </c>
      <c r="AF29" s="295"/>
      <c r="AG29" s="295">
        <f t="shared" si="52"/>
        <v>0</v>
      </c>
      <c r="AH29" s="302">
        <f t="shared" si="53"/>
        <v>0</v>
      </c>
      <c r="AI29" s="295"/>
      <c r="AJ29" s="295">
        <f t="shared" si="54"/>
        <v>0</v>
      </c>
      <c r="AK29" s="302">
        <f t="shared" si="55"/>
        <v>0</v>
      </c>
      <c r="AL29" s="295"/>
      <c r="AM29" s="295">
        <f t="shared" si="56"/>
        <v>0</v>
      </c>
      <c r="AN29" s="302">
        <f t="shared" si="57"/>
        <v>0</v>
      </c>
      <c r="AO29" s="295"/>
      <c r="AP29" s="295">
        <f t="shared" si="58"/>
        <v>0</v>
      </c>
      <c r="AQ29" s="302">
        <f t="shared" si="59"/>
        <v>0</v>
      </c>
      <c r="AR29" s="295"/>
      <c r="AS29" s="295">
        <f t="shared" si="60"/>
        <v>0</v>
      </c>
      <c r="AT29" s="302">
        <f t="shared" si="61"/>
        <v>0</v>
      </c>
      <c r="AU29" s="295"/>
      <c r="AV29" s="303">
        <f t="shared" si="62"/>
        <v>0</v>
      </c>
      <c r="AW29" s="302">
        <f t="shared" si="63"/>
        <v>0</v>
      </c>
      <c r="AX29" s="295">
        <f t="shared" si="64"/>
        <v>0</v>
      </c>
      <c r="AY29" s="304">
        <f t="shared" si="65"/>
        <v>0</v>
      </c>
      <c r="AZ29" s="302">
        <f t="shared" si="66"/>
        <v>100</v>
      </c>
      <c r="BA29" s="295">
        <f t="shared" si="67"/>
        <v>368.93</v>
      </c>
      <c r="BB29" s="304">
        <f t="shared" si="68"/>
        <v>3431.04</v>
      </c>
    </row>
    <row r="30" spans="1:54" ht="15" customHeight="1" x14ac:dyDescent="0.2">
      <c r="A30" s="39" t="s">
        <v>191</v>
      </c>
      <c r="B30" s="338" t="s">
        <v>223</v>
      </c>
      <c r="C30" s="28" t="s">
        <v>224</v>
      </c>
      <c r="D30" s="345" t="s">
        <v>225</v>
      </c>
      <c r="E30" s="28" t="s">
        <v>226</v>
      </c>
      <c r="F30" s="339">
        <v>7.48</v>
      </c>
      <c r="G30" s="44">
        <f>'Quant Ampl 02 Salas'!F22</f>
        <v>92.23</v>
      </c>
      <c r="H30" s="44">
        <f t="shared" si="35"/>
        <v>92.23</v>
      </c>
      <c r="I30" s="37">
        <f t="shared" si="36"/>
        <v>0</v>
      </c>
      <c r="J30" s="37">
        <f t="shared" si="37"/>
        <v>9.41</v>
      </c>
      <c r="K30" s="38">
        <f t="shared" si="38"/>
        <v>867.88</v>
      </c>
      <c r="L30" s="206">
        <f t="shared" si="0"/>
        <v>0</v>
      </c>
      <c r="M30" s="301">
        <f t="shared" si="39"/>
        <v>0</v>
      </c>
      <c r="N30" s="295"/>
      <c r="O30" s="295">
        <f t="shared" si="40"/>
        <v>0</v>
      </c>
      <c r="P30" s="302">
        <f t="shared" si="41"/>
        <v>0</v>
      </c>
      <c r="Q30" s="295"/>
      <c r="R30" s="295">
        <f t="shared" si="42"/>
        <v>0</v>
      </c>
      <c r="S30" s="302">
        <f t="shared" si="43"/>
        <v>0</v>
      </c>
      <c r="T30" s="295"/>
      <c r="U30" s="295">
        <f t="shared" si="44"/>
        <v>0</v>
      </c>
      <c r="V30" s="302">
        <f t="shared" si="45"/>
        <v>0</v>
      </c>
      <c r="W30" s="295"/>
      <c r="X30" s="295">
        <f t="shared" si="46"/>
        <v>0</v>
      </c>
      <c r="Y30" s="302">
        <f t="shared" si="47"/>
        <v>0</v>
      </c>
      <c r="Z30" s="295"/>
      <c r="AA30" s="295">
        <f t="shared" si="48"/>
        <v>0</v>
      </c>
      <c r="AB30" s="302">
        <f t="shared" si="49"/>
        <v>0</v>
      </c>
      <c r="AC30" s="295"/>
      <c r="AD30" s="295">
        <f t="shared" si="50"/>
        <v>0</v>
      </c>
      <c r="AE30" s="302">
        <f t="shared" si="51"/>
        <v>0</v>
      </c>
      <c r="AF30" s="295"/>
      <c r="AG30" s="295">
        <f t="shared" si="52"/>
        <v>0</v>
      </c>
      <c r="AH30" s="302">
        <f t="shared" si="53"/>
        <v>0</v>
      </c>
      <c r="AI30" s="295"/>
      <c r="AJ30" s="295">
        <f t="shared" si="54"/>
        <v>0</v>
      </c>
      <c r="AK30" s="302">
        <f t="shared" si="55"/>
        <v>0</v>
      </c>
      <c r="AL30" s="295"/>
      <c r="AM30" s="295">
        <f t="shared" si="56"/>
        <v>0</v>
      </c>
      <c r="AN30" s="302">
        <f t="shared" si="57"/>
        <v>0</v>
      </c>
      <c r="AO30" s="295"/>
      <c r="AP30" s="295">
        <f t="shared" si="58"/>
        <v>0</v>
      </c>
      <c r="AQ30" s="302">
        <f t="shared" si="59"/>
        <v>0</v>
      </c>
      <c r="AR30" s="295"/>
      <c r="AS30" s="295">
        <f t="shared" si="60"/>
        <v>0</v>
      </c>
      <c r="AT30" s="302">
        <f t="shared" si="61"/>
        <v>0</v>
      </c>
      <c r="AU30" s="295"/>
      <c r="AV30" s="303">
        <f t="shared" si="62"/>
        <v>0</v>
      </c>
      <c r="AW30" s="302">
        <f t="shared" si="63"/>
        <v>0</v>
      </c>
      <c r="AX30" s="295">
        <f t="shared" si="64"/>
        <v>0</v>
      </c>
      <c r="AY30" s="304">
        <f t="shared" si="65"/>
        <v>0</v>
      </c>
      <c r="AZ30" s="302">
        <f t="shared" si="66"/>
        <v>100</v>
      </c>
      <c r="BA30" s="295">
        <f t="shared" si="67"/>
        <v>92.23</v>
      </c>
      <c r="BB30" s="304">
        <f t="shared" si="68"/>
        <v>867.88</v>
      </c>
    </row>
    <row r="31" spans="1:54" ht="15" customHeight="1" x14ac:dyDescent="0.2">
      <c r="A31" s="34"/>
      <c r="B31" s="45"/>
      <c r="C31" s="45"/>
      <c r="D31" s="41"/>
      <c r="E31" s="45"/>
      <c r="F31" s="242"/>
      <c r="G31" s="37"/>
      <c r="H31" s="642" t="s">
        <v>125</v>
      </c>
      <c r="I31" s="642"/>
      <c r="J31" s="642"/>
      <c r="K31" s="43">
        <f>SUM(K25:K30)</f>
        <v>8966.89</v>
      </c>
      <c r="L31" s="43">
        <f>SUM(L25:L30)</f>
        <v>0</v>
      </c>
      <c r="M31" s="648" t="s">
        <v>125</v>
      </c>
      <c r="N31" s="642"/>
      <c r="O31" s="172">
        <f>SUM(O25:O30)</f>
        <v>0</v>
      </c>
      <c r="P31" s="641" t="s">
        <v>125</v>
      </c>
      <c r="Q31" s="642"/>
      <c r="R31" s="172">
        <f>SUM(R25:R30)</f>
        <v>0</v>
      </c>
      <c r="S31" s="641" t="s">
        <v>125</v>
      </c>
      <c r="T31" s="642"/>
      <c r="U31" s="172">
        <f>SUM(U25:U30)</f>
        <v>0</v>
      </c>
      <c r="V31" s="641" t="s">
        <v>125</v>
      </c>
      <c r="W31" s="642"/>
      <c r="X31" s="172">
        <f>SUM(X25:X30)</f>
        <v>0</v>
      </c>
      <c r="Y31" s="641" t="s">
        <v>125</v>
      </c>
      <c r="Z31" s="642"/>
      <c r="AA31" s="172">
        <f>SUM(AA25:AA30)</f>
        <v>0</v>
      </c>
      <c r="AB31" s="641" t="s">
        <v>125</v>
      </c>
      <c r="AC31" s="642"/>
      <c r="AD31" s="172">
        <f>SUM(AD25:AD30)</f>
        <v>0</v>
      </c>
      <c r="AE31" s="641" t="s">
        <v>125</v>
      </c>
      <c r="AF31" s="642"/>
      <c r="AG31" s="172">
        <f>SUM(AG25:AG30)</f>
        <v>0</v>
      </c>
      <c r="AH31" s="641" t="s">
        <v>125</v>
      </c>
      <c r="AI31" s="642"/>
      <c r="AJ31" s="172">
        <f>SUM(AJ25:AJ30)</f>
        <v>0</v>
      </c>
      <c r="AK31" s="641" t="s">
        <v>125</v>
      </c>
      <c r="AL31" s="642"/>
      <c r="AM31" s="172">
        <f>SUM(AM25:AM30)</f>
        <v>0</v>
      </c>
      <c r="AN31" s="641" t="s">
        <v>125</v>
      </c>
      <c r="AO31" s="642"/>
      <c r="AP31" s="172">
        <f>SUM(AP25:AP30)</f>
        <v>0</v>
      </c>
      <c r="AQ31" s="641" t="s">
        <v>125</v>
      </c>
      <c r="AR31" s="642"/>
      <c r="AS31" s="172">
        <f>SUM(AS25:AS30)</f>
        <v>0</v>
      </c>
      <c r="AT31" s="641" t="s">
        <v>125</v>
      </c>
      <c r="AU31" s="642"/>
      <c r="AV31" s="173">
        <f>SUM(AV25:AV30)</f>
        <v>0</v>
      </c>
      <c r="AW31" s="641" t="s">
        <v>125</v>
      </c>
      <c r="AX31" s="642"/>
      <c r="AY31" s="43">
        <f>SUM(AY25:AY30)</f>
        <v>0</v>
      </c>
      <c r="AZ31" s="641" t="s">
        <v>125</v>
      </c>
      <c r="BA31" s="642"/>
      <c r="BB31" s="43">
        <f>SUM(BB25:BB30)</f>
        <v>8966.89</v>
      </c>
    </row>
    <row r="32" spans="1:54" ht="15" x14ac:dyDescent="0.2">
      <c r="A32" s="34" t="s">
        <v>199</v>
      </c>
      <c r="B32" s="46"/>
      <c r="C32" s="46"/>
      <c r="D32" s="27" t="s">
        <v>228</v>
      </c>
      <c r="E32" s="45"/>
      <c r="F32" s="242"/>
      <c r="G32" s="385"/>
      <c r="H32" s="385"/>
      <c r="I32" s="385"/>
      <c r="J32" s="385"/>
      <c r="K32" s="38"/>
      <c r="L32" s="206"/>
      <c r="M32" s="301"/>
      <c r="N32" s="295"/>
      <c r="O32" s="295"/>
      <c r="P32" s="302"/>
      <c r="Q32" s="295"/>
      <c r="R32" s="295"/>
      <c r="S32" s="302"/>
      <c r="T32" s="295"/>
      <c r="U32" s="295"/>
      <c r="V32" s="302"/>
      <c r="W32" s="295"/>
      <c r="X32" s="295"/>
      <c r="Y32" s="302"/>
      <c r="Z32" s="295"/>
      <c r="AA32" s="295"/>
      <c r="AB32" s="302"/>
      <c r="AC32" s="295"/>
      <c r="AD32" s="295"/>
      <c r="AE32" s="302"/>
      <c r="AF32" s="295"/>
      <c r="AG32" s="295"/>
      <c r="AH32" s="302"/>
      <c r="AI32" s="295"/>
      <c r="AJ32" s="295"/>
      <c r="AK32" s="302"/>
      <c r="AL32" s="295"/>
      <c r="AM32" s="295"/>
      <c r="AN32" s="302"/>
      <c r="AO32" s="295"/>
      <c r="AP32" s="295"/>
      <c r="AQ32" s="302"/>
      <c r="AR32" s="295"/>
      <c r="AS32" s="295"/>
      <c r="AT32" s="302"/>
      <c r="AU32" s="295"/>
      <c r="AV32" s="303"/>
      <c r="AW32" s="302"/>
      <c r="AX32" s="295"/>
      <c r="AY32" s="304"/>
      <c r="AZ32" s="302"/>
      <c r="BA32" s="295"/>
      <c r="BB32" s="304"/>
    </row>
    <row r="33" spans="1:54" ht="28.5" x14ac:dyDescent="0.2">
      <c r="A33" s="39" t="s">
        <v>201</v>
      </c>
      <c r="B33" s="338" t="s">
        <v>230</v>
      </c>
      <c r="C33" s="28" t="s">
        <v>231</v>
      </c>
      <c r="D33" s="50" t="s">
        <v>232</v>
      </c>
      <c r="E33" s="28" t="s">
        <v>119</v>
      </c>
      <c r="F33" s="339">
        <v>277.24</v>
      </c>
      <c r="G33" s="44">
        <f>'Quant Ampl 02 Salas'!F26</f>
        <v>3.96</v>
      </c>
      <c r="H33" s="44">
        <f>G33</f>
        <v>3.96</v>
      </c>
      <c r="I33" s="37">
        <f>H33-G33</f>
        <v>0</v>
      </c>
      <c r="J33" s="37">
        <f>ROUND((F33*(1+$K$8))*(1+$G$8),2)</f>
        <v>348.8</v>
      </c>
      <c r="K33" s="38">
        <f>TRUNC(J33*G33,2)</f>
        <v>1381.24</v>
      </c>
      <c r="L33" s="206">
        <f t="shared" si="0"/>
        <v>0</v>
      </c>
      <c r="M33" s="301">
        <f>N33/$H33*100</f>
        <v>0</v>
      </c>
      <c r="N33" s="295"/>
      <c r="O33" s="295">
        <f>TRUNC(N33*$J33,2)</f>
        <v>0</v>
      </c>
      <c r="P33" s="302">
        <f>Q33/$H33*100</f>
        <v>0</v>
      </c>
      <c r="Q33" s="295"/>
      <c r="R33" s="295">
        <f>TRUNC(Q33*$J33,2)</f>
        <v>0</v>
      </c>
      <c r="S33" s="302">
        <f>T33/$H33*100</f>
        <v>0</v>
      </c>
      <c r="T33" s="295"/>
      <c r="U33" s="295">
        <f>TRUNC(T33*$J33,2)</f>
        <v>0</v>
      </c>
      <c r="V33" s="302">
        <f>W33/$H33*100</f>
        <v>0</v>
      </c>
      <c r="W33" s="295"/>
      <c r="X33" s="295">
        <f>TRUNC(W33*$J33,2)</f>
        <v>0</v>
      </c>
      <c r="Y33" s="302">
        <f>Z33/$H33*100</f>
        <v>0</v>
      </c>
      <c r="Z33" s="295"/>
      <c r="AA33" s="295">
        <f>TRUNC(Z33*$J33,2)</f>
        <v>0</v>
      </c>
      <c r="AB33" s="302">
        <f>AC33/$H33*100</f>
        <v>0</v>
      </c>
      <c r="AC33" s="295"/>
      <c r="AD33" s="295">
        <f>TRUNC(AC33*$J33,2)</f>
        <v>0</v>
      </c>
      <c r="AE33" s="302">
        <f>AF33/$H33*100</f>
        <v>0</v>
      </c>
      <c r="AF33" s="295"/>
      <c r="AG33" s="295">
        <f>TRUNC(AF33*$J33,2)</f>
        <v>0</v>
      </c>
      <c r="AH33" s="302">
        <f>AI33/$H33*100</f>
        <v>0</v>
      </c>
      <c r="AI33" s="295"/>
      <c r="AJ33" s="295">
        <f>TRUNC(AI33*$J33,2)</f>
        <v>0</v>
      </c>
      <c r="AK33" s="302">
        <f>AL33/$H33*100</f>
        <v>0</v>
      </c>
      <c r="AL33" s="295"/>
      <c r="AM33" s="295">
        <f>TRUNC(AL33*$J33,2)</f>
        <v>0</v>
      </c>
      <c r="AN33" s="302">
        <f>AO33/$H33*100</f>
        <v>0</v>
      </c>
      <c r="AO33" s="295"/>
      <c r="AP33" s="295">
        <f>TRUNC(AO33*$J33,2)</f>
        <v>0</v>
      </c>
      <c r="AQ33" s="302">
        <f>AR33/$H33*100</f>
        <v>0</v>
      </c>
      <c r="AR33" s="295"/>
      <c r="AS33" s="295">
        <f>TRUNC(AR33*$J33,2)</f>
        <v>0</v>
      </c>
      <c r="AT33" s="302">
        <f>AU33/$H33*100</f>
        <v>0</v>
      </c>
      <c r="AU33" s="295"/>
      <c r="AV33" s="303">
        <f>TRUNC(AU33*$J33,2)</f>
        <v>0</v>
      </c>
      <c r="AW33" s="302">
        <f>AX33/$H33*100</f>
        <v>0</v>
      </c>
      <c r="AX33" s="295">
        <f>Q33+N33+T33+W33+Z33+AC33+AF33+AI33+AL33+AO33+AR33+AU33</f>
        <v>0</v>
      </c>
      <c r="AY33" s="304">
        <f>TRUNC(AX33*$J33,2)</f>
        <v>0</v>
      </c>
      <c r="AZ33" s="302">
        <f>BA33/$H33*100</f>
        <v>100</v>
      </c>
      <c r="BA33" s="295">
        <f>H33-AX33</f>
        <v>3.96</v>
      </c>
      <c r="BB33" s="304">
        <f>TRUNC(BA33*$J33,2)</f>
        <v>1381.24</v>
      </c>
    </row>
    <row r="34" spans="1:54" ht="15" x14ac:dyDescent="0.2">
      <c r="A34" s="39" t="s">
        <v>205</v>
      </c>
      <c r="B34" s="338" t="s">
        <v>234</v>
      </c>
      <c r="C34" s="28" t="s">
        <v>235</v>
      </c>
      <c r="D34" s="58" t="s">
        <v>236</v>
      </c>
      <c r="E34" s="28" t="s">
        <v>119</v>
      </c>
      <c r="F34" s="339">
        <v>24.06</v>
      </c>
      <c r="G34" s="44">
        <f>'Quant Ampl 02 Salas'!F27</f>
        <v>3.96</v>
      </c>
      <c r="H34" s="44">
        <f>G34</f>
        <v>3.96</v>
      </c>
      <c r="I34" s="37">
        <f>H34-G34</f>
        <v>0</v>
      </c>
      <c r="J34" s="37">
        <f>ROUND((F34*(1+$K$8))*(1+$G$8),2)</f>
        <v>30.27</v>
      </c>
      <c r="K34" s="38">
        <f>TRUNC(J34*G34,2)</f>
        <v>119.86</v>
      </c>
      <c r="L34" s="206">
        <f>TRUNC(J34*I34,2)</f>
        <v>0</v>
      </c>
      <c r="M34" s="301">
        <f>N34/$H34*100</f>
        <v>0</v>
      </c>
      <c r="N34" s="295"/>
      <c r="O34" s="295">
        <f>TRUNC(N34*$J34,2)</f>
        <v>0</v>
      </c>
      <c r="P34" s="302">
        <f>Q34/$H34*100</f>
        <v>0</v>
      </c>
      <c r="Q34" s="295"/>
      <c r="R34" s="295">
        <f>TRUNC(Q34*$J34,2)</f>
        <v>0</v>
      </c>
      <c r="S34" s="302">
        <f>T34/$H34*100</f>
        <v>0</v>
      </c>
      <c r="T34" s="295"/>
      <c r="U34" s="295">
        <f>TRUNC(T34*$J34,2)</f>
        <v>0</v>
      </c>
      <c r="V34" s="302">
        <f>W34/$H34*100</f>
        <v>0</v>
      </c>
      <c r="W34" s="295"/>
      <c r="X34" s="295">
        <f>TRUNC(W34*$J34,2)</f>
        <v>0</v>
      </c>
      <c r="Y34" s="302">
        <f>Z34/$H34*100</f>
        <v>0</v>
      </c>
      <c r="Z34" s="295"/>
      <c r="AA34" s="295">
        <f>TRUNC(Z34*$J34,2)</f>
        <v>0</v>
      </c>
      <c r="AB34" s="302">
        <f>AC34/$H34*100</f>
        <v>0</v>
      </c>
      <c r="AC34" s="295"/>
      <c r="AD34" s="295">
        <f>TRUNC(AC34*$J34,2)</f>
        <v>0</v>
      </c>
      <c r="AE34" s="302">
        <f>AF34/$H34*100</f>
        <v>0</v>
      </c>
      <c r="AF34" s="295"/>
      <c r="AG34" s="295">
        <f>TRUNC(AF34*$J34,2)</f>
        <v>0</v>
      </c>
      <c r="AH34" s="302">
        <f>AI34/$H34*100</f>
        <v>0</v>
      </c>
      <c r="AI34" s="295"/>
      <c r="AJ34" s="295">
        <f>TRUNC(AI34*$J34,2)</f>
        <v>0</v>
      </c>
      <c r="AK34" s="302">
        <f>AL34/$H34*100</f>
        <v>0</v>
      </c>
      <c r="AL34" s="295"/>
      <c r="AM34" s="295">
        <f>TRUNC(AL34*$J34,2)</f>
        <v>0</v>
      </c>
      <c r="AN34" s="302">
        <f>AO34/$H34*100</f>
        <v>0</v>
      </c>
      <c r="AO34" s="295"/>
      <c r="AP34" s="295">
        <f>TRUNC(AO34*$J34,2)</f>
        <v>0</v>
      </c>
      <c r="AQ34" s="302">
        <f>AR34/$H34*100</f>
        <v>0</v>
      </c>
      <c r="AR34" s="295"/>
      <c r="AS34" s="295">
        <f>TRUNC(AR34*$J34,2)</f>
        <v>0</v>
      </c>
      <c r="AT34" s="302">
        <f>AU34/$H34*100</f>
        <v>0</v>
      </c>
      <c r="AU34" s="295"/>
      <c r="AV34" s="303">
        <f>TRUNC(AU34*$J34,2)</f>
        <v>0</v>
      </c>
      <c r="AW34" s="302">
        <f>AX34/$H34*100</f>
        <v>0</v>
      </c>
      <c r="AX34" s="295">
        <f>Q34+N34+T34+W34+Z34+AC34+AF34+AI34+AL34+AO34+AR34+AU34</f>
        <v>0</v>
      </c>
      <c r="AY34" s="304">
        <f>TRUNC(AX34*$J34,2)</f>
        <v>0</v>
      </c>
      <c r="AZ34" s="302">
        <f>BA34/$H34*100</f>
        <v>100</v>
      </c>
      <c r="BA34" s="295">
        <f>H34-AX34</f>
        <v>3.96</v>
      </c>
      <c r="BB34" s="304">
        <f>TRUNC(BA34*$J34,2)</f>
        <v>119.86</v>
      </c>
    </row>
    <row r="35" spans="1:54" ht="15" x14ac:dyDescent="0.2">
      <c r="A35" s="39" t="s">
        <v>209</v>
      </c>
      <c r="B35" s="338" t="s">
        <v>238</v>
      </c>
      <c r="C35" s="28" t="s">
        <v>239</v>
      </c>
      <c r="D35" s="58" t="s">
        <v>240</v>
      </c>
      <c r="E35" s="28" t="s">
        <v>98</v>
      </c>
      <c r="F35" s="339">
        <v>57.29</v>
      </c>
      <c r="G35" s="44">
        <f>'Quant Ampl 02 Salas'!F28</f>
        <v>79.319999999999993</v>
      </c>
      <c r="H35" s="44">
        <f>G35</f>
        <v>79.319999999999993</v>
      </c>
      <c r="I35" s="37">
        <f>H35-G35</f>
        <v>0</v>
      </c>
      <c r="J35" s="37">
        <f>ROUND((F35*(1+$K$8))*(1+$G$8),2)</f>
        <v>72.08</v>
      </c>
      <c r="K35" s="38">
        <f>TRUNC(J35*G35,2)</f>
        <v>5717.38</v>
      </c>
      <c r="L35" s="206">
        <f t="shared" si="0"/>
        <v>0</v>
      </c>
      <c r="M35" s="301">
        <f>N35/$H35*100</f>
        <v>0</v>
      </c>
      <c r="N35" s="295"/>
      <c r="O35" s="295">
        <f>TRUNC(N35*$J35,2)</f>
        <v>0</v>
      </c>
      <c r="P35" s="302">
        <f>Q35/$H35*100</f>
        <v>0</v>
      </c>
      <c r="Q35" s="295"/>
      <c r="R35" s="295">
        <f>TRUNC(Q35*$J35,2)</f>
        <v>0</v>
      </c>
      <c r="S35" s="302">
        <f>T35/$H35*100</f>
        <v>0</v>
      </c>
      <c r="T35" s="295"/>
      <c r="U35" s="295">
        <f>TRUNC(T35*$J35,2)</f>
        <v>0</v>
      </c>
      <c r="V35" s="302">
        <f>W35/$H35*100</f>
        <v>0</v>
      </c>
      <c r="W35" s="295"/>
      <c r="X35" s="295">
        <f>TRUNC(W35*$J35,2)</f>
        <v>0</v>
      </c>
      <c r="Y35" s="302">
        <f>Z35/$H35*100</f>
        <v>0</v>
      </c>
      <c r="Z35" s="295"/>
      <c r="AA35" s="295">
        <f>TRUNC(Z35*$J35,2)</f>
        <v>0</v>
      </c>
      <c r="AB35" s="302">
        <f>AC35/$H35*100</f>
        <v>0</v>
      </c>
      <c r="AC35" s="295"/>
      <c r="AD35" s="295">
        <f>TRUNC(AC35*$J35,2)</f>
        <v>0</v>
      </c>
      <c r="AE35" s="302">
        <f>AF35/$H35*100</f>
        <v>0</v>
      </c>
      <c r="AF35" s="295"/>
      <c r="AG35" s="295">
        <f>TRUNC(AF35*$J35,2)</f>
        <v>0</v>
      </c>
      <c r="AH35" s="302">
        <f>AI35/$H35*100</f>
        <v>0</v>
      </c>
      <c r="AI35" s="295"/>
      <c r="AJ35" s="295">
        <f>TRUNC(AI35*$J35,2)</f>
        <v>0</v>
      </c>
      <c r="AK35" s="302">
        <f>AL35/$H35*100</f>
        <v>0</v>
      </c>
      <c r="AL35" s="295"/>
      <c r="AM35" s="295">
        <f>TRUNC(AL35*$J35,2)</f>
        <v>0</v>
      </c>
      <c r="AN35" s="302">
        <f>AO35/$H35*100</f>
        <v>0</v>
      </c>
      <c r="AO35" s="295"/>
      <c r="AP35" s="295">
        <f>TRUNC(AO35*$J35,2)</f>
        <v>0</v>
      </c>
      <c r="AQ35" s="302">
        <f>AR35/$H35*100</f>
        <v>0</v>
      </c>
      <c r="AR35" s="295"/>
      <c r="AS35" s="295">
        <f>TRUNC(AR35*$J35,2)</f>
        <v>0</v>
      </c>
      <c r="AT35" s="302">
        <f>AU35/$H35*100</f>
        <v>0</v>
      </c>
      <c r="AU35" s="295"/>
      <c r="AV35" s="303">
        <f>TRUNC(AU35*$J35,2)</f>
        <v>0</v>
      </c>
      <c r="AW35" s="302">
        <f>AX35/$H35*100</f>
        <v>0</v>
      </c>
      <c r="AX35" s="295">
        <f>Q35+N35+T35+W35+Z35+AC35+AF35+AI35+AL35+AO35+AR35+AU35</f>
        <v>0</v>
      </c>
      <c r="AY35" s="304">
        <f>TRUNC(AX35*$J35,2)</f>
        <v>0</v>
      </c>
      <c r="AZ35" s="302">
        <f>BA35/$H35*100</f>
        <v>100</v>
      </c>
      <c r="BA35" s="295">
        <f>H35-AX35</f>
        <v>79.319999999999993</v>
      </c>
      <c r="BB35" s="304">
        <f>TRUNC(BA35*$J35,2)</f>
        <v>5717.38</v>
      </c>
    </row>
    <row r="36" spans="1:54" ht="15" x14ac:dyDescent="0.2">
      <c r="A36" s="39" t="s">
        <v>213</v>
      </c>
      <c r="B36" s="338" t="s">
        <v>218</v>
      </c>
      <c r="C36" s="28" t="s">
        <v>219</v>
      </c>
      <c r="D36" s="345" t="s">
        <v>220</v>
      </c>
      <c r="E36" s="28" t="s">
        <v>221</v>
      </c>
      <c r="F36" s="339">
        <v>7.39</v>
      </c>
      <c r="G36" s="44">
        <f>'Quant Ampl 02 Salas'!F29</f>
        <v>253.68</v>
      </c>
      <c r="H36" s="44">
        <f>G36</f>
        <v>253.68</v>
      </c>
      <c r="I36" s="37">
        <f>H36-G36</f>
        <v>0</v>
      </c>
      <c r="J36" s="37">
        <f>ROUND((F36*(1+$K$8))*(1+$G$8),2)</f>
        <v>9.3000000000000007</v>
      </c>
      <c r="K36" s="38">
        <f>TRUNC(J36*G36,2)</f>
        <v>2359.2199999999998</v>
      </c>
      <c r="L36" s="206">
        <f t="shared" si="0"/>
        <v>0</v>
      </c>
      <c r="M36" s="301">
        <f>N36/$H36*100</f>
        <v>0</v>
      </c>
      <c r="N36" s="295"/>
      <c r="O36" s="295">
        <f>TRUNC(N36*$J36,2)</f>
        <v>0</v>
      </c>
      <c r="P36" s="302">
        <f>Q36/$H36*100</f>
        <v>0</v>
      </c>
      <c r="Q36" s="295"/>
      <c r="R36" s="295">
        <f>TRUNC(Q36*$J36,2)</f>
        <v>0</v>
      </c>
      <c r="S36" s="302">
        <f>T36/$H36*100</f>
        <v>0</v>
      </c>
      <c r="T36" s="295"/>
      <c r="U36" s="295">
        <f>TRUNC(T36*$J36,2)</f>
        <v>0</v>
      </c>
      <c r="V36" s="302">
        <f>W36/$H36*100</f>
        <v>0</v>
      </c>
      <c r="W36" s="295"/>
      <c r="X36" s="295">
        <f>TRUNC(W36*$J36,2)</f>
        <v>0</v>
      </c>
      <c r="Y36" s="302">
        <f>Z36/$H36*100</f>
        <v>0</v>
      </c>
      <c r="Z36" s="295"/>
      <c r="AA36" s="295">
        <f>TRUNC(Z36*$J36,2)</f>
        <v>0</v>
      </c>
      <c r="AB36" s="302">
        <f>AC36/$H36*100</f>
        <v>0</v>
      </c>
      <c r="AC36" s="295"/>
      <c r="AD36" s="295">
        <f>TRUNC(AC36*$J36,2)</f>
        <v>0</v>
      </c>
      <c r="AE36" s="302">
        <f>AF36/$H36*100</f>
        <v>0</v>
      </c>
      <c r="AF36" s="295"/>
      <c r="AG36" s="295">
        <f>TRUNC(AF36*$J36,2)</f>
        <v>0</v>
      </c>
      <c r="AH36" s="302">
        <f>AI36/$H36*100</f>
        <v>0</v>
      </c>
      <c r="AI36" s="295"/>
      <c r="AJ36" s="295">
        <f>TRUNC(AI36*$J36,2)</f>
        <v>0</v>
      </c>
      <c r="AK36" s="302">
        <f>AL36/$H36*100</f>
        <v>0</v>
      </c>
      <c r="AL36" s="295"/>
      <c r="AM36" s="295">
        <f>TRUNC(AL36*$J36,2)</f>
        <v>0</v>
      </c>
      <c r="AN36" s="302">
        <f>AO36/$H36*100</f>
        <v>0</v>
      </c>
      <c r="AO36" s="295"/>
      <c r="AP36" s="295">
        <f>TRUNC(AO36*$J36,2)</f>
        <v>0</v>
      </c>
      <c r="AQ36" s="302">
        <f>AR36/$H36*100</f>
        <v>0</v>
      </c>
      <c r="AR36" s="295"/>
      <c r="AS36" s="295">
        <f>TRUNC(AR36*$J36,2)</f>
        <v>0</v>
      </c>
      <c r="AT36" s="302">
        <f>AU36/$H36*100</f>
        <v>0</v>
      </c>
      <c r="AU36" s="295"/>
      <c r="AV36" s="303">
        <f>TRUNC(AU36*$J36,2)</f>
        <v>0</v>
      </c>
      <c r="AW36" s="302">
        <f>AX36/$H36*100</f>
        <v>0</v>
      </c>
      <c r="AX36" s="295">
        <f>Q36+N36+T36+W36+Z36+AC36+AF36+AI36+AL36+AO36+AR36+AU36</f>
        <v>0</v>
      </c>
      <c r="AY36" s="304">
        <f>TRUNC(AX36*$J36,2)</f>
        <v>0</v>
      </c>
      <c r="AZ36" s="302">
        <f>BA36/$H36*100</f>
        <v>100</v>
      </c>
      <c r="BA36" s="295">
        <f>H36-AX36</f>
        <v>253.68</v>
      </c>
      <c r="BB36" s="304">
        <f>TRUNC(BA36*$J36,2)</f>
        <v>2359.2199999999998</v>
      </c>
    </row>
    <row r="37" spans="1:54" ht="15" x14ac:dyDescent="0.2">
      <c r="A37" s="39" t="s">
        <v>217</v>
      </c>
      <c r="B37" s="338" t="s">
        <v>223</v>
      </c>
      <c r="C37" s="28" t="s">
        <v>224</v>
      </c>
      <c r="D37" s="345" t="s">
        <v>225</v>
      </c>
      <c r="E37" s="28" t="s">
        <v>226</v>
      </c>
      <c r="F37" s="339">
        <v>7.48</v>
      </c>
      <c r="G37" s="44">
        <f>'Quant Ampl 02 Salas'!F30</f>
        <v>63.42</v>
      </c>
      <c r="H37" s="44">
        <f>G37</f>
        <v>63.42</v>
      </c>
      <c r="I37" s="37">
        <f>H37-G37</f>
        <v>0</v>
      </c>
      <c r="J37" s="37">
        <f>ROUND((F37*(1+$K$8))*(1+$G$8),2)</f>
        <v>9.41</v>
      </c>
      <c r="K37" s="38">
        <f>TRUNC(J37*G37,2)</f>
        <v>596.78</v>
      </c>
      <c r="L37" s="206">
        <f t="shared" si="0"/>
        <v>0</v>
      </c>
      <c r="M37" s="301">
        <f>N37/$H37*100</f>
        <v>0</v>
      </c>
      <c r="N37" s="295"/>
      <c r="O37" s="295">
        <f>TRUNC(N37*$J37,2)</f>
        <v>0</v>
      </c>
      <c r="P37" s="302">
        <f>Q37/$H37*100</f>
        <v>0</v>
      </c>
      <c r="Q37" s="295"/>
      <c r="R37" s="295">
        <f>TRUNC(Q37*$J37,2)</f>
        <v>0</v>
      </c>
      <c r="S37" s="302">
        <f>T37/$H37*100</f>
        <v>0</v>
      </c>
      <c r="T37" s="295"/>
      <c r="U37" s="295">
        <f>TRUNC(T37*$J37,2)</f>
        <v>0</v>
      </c>
      <c r="V37" s="302">
        <f>W37/$H37*100</f>
        <v>0</v>
      </c>
      <c r="W37" s="295"/>
      <c r="X37" s="295">
        <f>TRUNC(W37*$J37,2)</f>
        <v>0</v>
      </c>
      <c r="Y37" s="302">
        <f>Z37/$H37*100</f>
        <v>0</v>
      </c>
      <c r="Z37" s="295"/>
      <c r="AA37" s="295">
        <f>TRUNC(Z37*$J37,2)</f>
        <v>0</v>
      </c>
      <c r="AB37" s="302">
        <f>AC37/$H37*100</f>
        <v>0</v>
      </c>
      <c r="AC37" s="295"/>
      <c r="AD37" s="295">
        <f>TRUNC(AC37*$J37,2)</f>
        <v>0</v>
      </c>
      <c r="AE37" s="302">
        <f>AF37/$H37*100</f>
        <v>0</v>
      </c>
      <c r="AF37" s="295"/>
      <c r="AG37" s="295">
        <f>TRUNC(AF37*$J37,2)</f>
        <v>0</v>
      </c>
      <c r="AH37" s="302">
        <f>AI37/$H37*100</f>
        <v>0</v>
      </c>
      <c r="AI37" s="295"/>
      <c r="AJ37" s="295">
        <f>TRUNC(AI37*$J37,2)</f>
        <v>0</v>
      </c>
      <c r="AK37" s="302">
        <f>AL37/$H37*100</f>
        <v>0</v>
      </c>
      <c r="AL37" s="295"/>
      <c r="AM37" s="295">
        <f>TRUNC(AL37*$J37,2)</f>
        <v>0</v>
      </c>
      <c r="AN37" s="302">
        <f>AO37/$H37*100</f>
        <v>0</v>
      </c>
      <c r="AO37" s="295"/>
      <c r="AP37" s="295">
        <f>TRUNC(AO37*$J37,2)</f>
        <v>0</v>
      </c>
      <c r="AQ37" s="302">
        <f>AR37/$H37*100</f>
        <v>0</v>
      </c>
      <c r="AR37" s="295"/>
      <c r="AS37" s="295">
        <f>TRUNC(AR37*$J37,2)</f>
        <v>0</v>
      </c>
      <c r="AT37" s="302">
        <f>AU37/$H37*100</f>
        <v>0</v>
      </c>
      <c r="AU37" s="295"/>
      <c r="AV37" s="303">
        <f>TRUNC(AU37*$J37,2)</f>
        <v>0</v>
      </c>
      <c r="AW37" s="302">
        <f>AX37/$H37*100</f>
        <v>0</v>
      </c>
      <c r="AX37" s="295">
        <f>Q37+N37+T37+W37+Z37+AC37+AF37+AI37+AL37+AO37+AR37+AU37</f>
        <v>0</v>
      </c>
      <c r="AY37" s="304">
        <f>TRUNC(AX37*$J37,2)</f>
        <v>0</v>
      </c>
      <c r="AZ37" s="302">
        <f>BA37/$H37*100</f>
        <v>100</v>
      </c>
      <c r="BA37" s="295">
        <f>H37-AX37</f>
        <v>63.42</v>
      </c>
      <c r="BB37" s="304">
        <f>TRUNC(BA37*$J37,2)</f>
        <v>596.78</v>
      </c>
    </row>
    <row r="38" spans="1:54" ht="15" customHeight="1" x14ac:dyDescent="0.2">
      <c r="A38" s="34"/>
      <c r="B38" s="36"/>
      <c r="C38" s="36"/>
      <c r="D38" s="285"/>
      <c r="E38" s="36"/>
      <c r="F38" s="242"/>
      <c r="G38" s="37"/>
      <c r="H38" s="642" t="s">
        <v>125</v>
      </c>
      <c r="I38" s="642"/>
      <c r="J38" s="642"/>
      <c r="K38" s="43">
        <f>SUM(K33:K37)</f>
        <v>10174.48</v>
      </c>
      <c r="L38" s="43">
        <f>SUM(L33:L37)</f>
        <v>0</v>
      </c>
      <c r="M38" s="648" t="s">
        <v>125</v>
      </c>
      <c r="N38" s="642"/>
      <c r="O38" s="172">
        <f>SUM(O33:O37)</f>
        <v>0</v>
      </c>
      <c r="P38" s="641" t="s">
        <v>125</v>
      </c>
      <c r="Q38" s="642"/>
      <c r="R38" s="172">
        <f>SUM(R33:R37)</f>
        <v>0</v>
      </c>
      <c r="S38" s="641" t="s">
        <v>125</v>
      </c>
      <c r="T38" s="642"/>
      <c r="U38" s="172">
        <f>SUM(U33:U37)</f>
        <v>0</v>
      </c>
      <c r="V38" s="641" t="s">
        <v>125</v>
      </c>
      <c r="W38" s="642"/>
      <c r="X38" s="172">
        <f>SUM(X33:X37)</f>
        <v>0</v>
      </c>
      <c r="Y38" s="641" t="s">
        <v>125</v>
      </c>
      <c r="Z38" s="642"/>
      <c r="AA38" s="172">
        <f>SUM(AA33:AA37)</f>
        <v>0</v>
      </c>
      <c r="AB38" s="641" t="s">
        <v>125</v>
      </c>
      <c r="AC38" s="642"/>
      <c r="AD38" s="172">
        <f>SUM(AD33:AD37)</f>
        <v>0</v>
      </c>
      <c r="AE38" s="641" t="s">
        <v>125</v>
      </c>
      <c r="AF38" s="642"/>
      <c r="AG38" s="172">
        <f>SUM(AG33:AG37)</f>
        <v>0</v>
      </c>
      <c r="AH38" s="641" t="s">
        <v>125</v>
      </c>
      <c r="AI38" s="642"/>
      <c r="AJ38" s="172">
        <f>SUM(AJ33:AJ37)</f>
        <v>0</v>
      </c>
      <c r="AK38" s="641" t="s">
        <v>125</v>
      </c>
      <c r="AL38" s="642"/>
      <c r="AM38" s="172">
        <f>SUM(AM33:AM37)</f>
        <v>0</v>
      </c>
      <c r="AN38" s="641" t="s">
        <v>125</v>
      </c>
      <c r="AO38" s="642"/>
      <c r="AP38" s="172">
        <f>SUM(AP33:AP37)</f>
        <v>0</v>
      </c>
      <c r="AQ38" s="641" t="s">
        <v>125</v>
      </c>
      <c r="AR38" s="642"/>
      <c r="AS38" s="172">
        <f>SUM(AS33:AS37)</f>
        <v>0</v>
      </c>
      <c r="AT38" s="641" t="s">
        <v>125</v>
      </c>
      <c r="AU38" s="642"/>
      <c r="AV38" s="173">
        <f>SUM(AV33:AV37)</f>
        <v>0</v>
      </c>
      <c r="AW38" s="641" t="s">
        <v>125</v>
      </c>
      <c r="AX38" s="642"/>
      <c r="AY38" s="43">
        <f>SUM(AY33:AY37)</f>
        <v>0</v>
      </c>
      <c r="AZ38" s="641" t="s">
        <v>125</v>
      </c>
      <c r="BA38" s="642"/>
      <c r="BB38" s="43">
        <f>SUM(BB33:BB37)</f>
        <v>10174.48</v>
      </c>
    </row>
    <row r="39" spans="1:54" ht="15" customHeight="1" x14ac:dyDescent="0.2">
      <c r="A39" s="34" t="s">
        <v>227</v>
      </c>
      <c r="B39" s="46"/>
      <c r="C39" s="46"/>
      <c r="D39" s="93" t="s">
        <v>244</v>
      </c>
      <c r="E39" s="45"/>
      <c r="F39" s="242"/>
      <c r="G39" s="385"/>
      <c r="H39" s="385"/>
      <c r="I39" s="385"/>
      <c r="J39" s="37"/>
      <c r="K39" s="38"/>
      <c r="L39" s="206"/>
      <c r="M39" s="301"/>
      <c r="N39" s="295"/>
      <c r="O39" s="295"/>
      <c r="P39" s="302"/>
      <c r="Q39" s="295"/>
      <c r="R39" s="295"/>
      <c r="S39" s="302"/>
      <c r="T39" s="295"/>
      <c r="U39" s="295"/>
      <c r="V39" s="302"/>
      <c r="W39" s="295"/>
      <c r="X39" s="295"/>
      <c r="Y39" s="302"/>
      <c r="Z39" s="295"/>
      <c r="AA39" s="295"/>
      <c r="AB39" s="302"/>
      <c r="AC39" s="295"/>
      <c r="AD39" s="295"/>
      <c r="AE39" s="302"/>
      <c r="AF39" s="295"/>
      <c r="AG39" s="295"/>
      <c r="AH39" s="302"/>
      <c r="AI39" s="295"/>
      <c r="AJ39" s="295"/>
      <c r="AK39" s="302"/>
      <c r="AL39" s="295"/>
      <c r="AM39" s="295"/>
      <c r="AN39" s="302"/>
      <c r="AO39" s="295"/>
      <c r="AP39" s="295"/>
      <c r="AQ39" s="302"/>
      <c r="AR39" s="295"/>
      <c r="AS39" s="295"/>
      <c r="AT39" s="302"/>
      <c r="AU39" s="295"/>
      <c r="AV39" s="303"/>
      <c r="AW39" s="302"/>
      <c r="AX39" s="295"/>
      <c r="AY39" s="304"/>
      <c r="AZ39" s="302"/>
      <c r="BA39" s="295"/>
      <c r="BB39" s="304"/>
    </row>
    <row r="40" spans="1:54" ht="15" x14ac:dyDescent="0.2">
      <c r="A40" s="39" t="s">
        <v>229</v>
      </c>
      <c r="B40" s="338" t="s">
        <v>246</v>
      </c>
      <c r="C40" s="28" t="s">
        <v>247</v>
      </c>
      <c r="D40" s="58" t="s">
        <v>248</v>
      </c>
      <c r="E40" s="28" t="s">
        <v>98</v>
      </c>
      <c r="F40" s="329">
        <v>8.5500000000000007</v>
      </c>
      <c r="G40" s="44">
        <f>'Quant Ampl 02 Salas'!F34</f>
        <v>42.53</v>
      </c>
      <c r="H40" s="44">
        <f>G40</f>
        <v>42.53</v>
      </c>
      <c r="I40" s="37">
        <f>H40-G40</f>
        <v>0</v>
      </c>
      <c r="J40" s="37">
        <f>ROUND((F40*(1+$K$8))*(1+$G$8),2)</f>
        <v>10.76</v>
      </c>
      <c r="K40" s="38">
        <f>TRUNC(J40*G40,2)</f>
        <v>457.62</v>
      </c>
      <c r="L40" s="206">
        <f t="shared" si="0"/>
        <v>0</v>
      </c>
      <c r="M40" s="301">
        <f>N40/$H40*100</f>
        <v>0</v>
      </c>
      <c r="N40" s="295"/>
      <c r="O40" s="295">
        <f>TRUNC(N40*$J40,2)</f>
        <v>0</v>
      </c>
      <c r="P40" s="302">
        <f>Q40/$H40*100</f>
        <v>0</v>
      </c>
      <c r="Q40" s="295"/>
      <c r="R40" s="295">
        <f>TRUNC(Q40*$J40,2)</f>
        <v>0</v>
      </c>
      <c r="S40" s="302">
        <f>T40/$H40*100</f>
        <v>0</v>
      </c>
      <c r="T40" s="295"/>
      <c r="U40" s="295">
        <f>TRUNC(T40*$J40,2)</f>
        <v>0</v>
      </c>
      <c r="V40" s="302">
        <f>W40/$H40*100</f>
        <v>0</v>
      </c>
      <c r="W40" s="295"/>
      <c r="X40" s="295">
        <f>TRUNC(W40*$J40,2)</f>
        <v>0</v>
      </c>
      <c r="Y40" s="302">
        <f>Z40/$H40*100</f>
        <v>0</v>
      </c>
      <c r="Z40" s="295"/>
      <c r="AA40" s="295">
        <f>TRUNC(Z40*$J40,2)</f>
        <v>0</v>
      </c>
      <c r="AB40" s="302">
        <f>AC40/$H40*100</f>
        <v>0</v>
      </c>
      <c r="AC40" s="295"/>
      <c r="AD40" s="295">
        <f>TRUNC(AC40*$J40,2)</f>
        <v>0</v>
      </c>
      <c r="AE40" s="302">
        <f>AF40/$H40*100</f>
        <v>0</v>
      </c>
      <c r="AF40" s="295"/>
      <c r="AG40" s="295">
        <f>TRUNC(AF40*$J40,2)</f>
        <v>0</v>
      </c>
      <c r="AH40" s="302">
        <f>AI40/$H40*100</f>
        <v>0</v>
      </c>
      <c r="AI40" s="295"/>
      <c r="AJ40" s="295">
        <f>TRUNC(AI40*$J40,2)</f>
        <v>0</v>
      </c>
      <c r="AK40" s="302">
        <f>AL40/$H40*100</f>
        <v>0</v>
      </c>
      <c r="AL40" s="295"/>
      <c r="AM40" s="295">
        <f>TRUNC(AL40*$J40,2)</f>
        <v>0</v>
      </c>
      <c r="AN40" s="302">
        <f>AO40/$H40*100</f>
        <v>0</v>
      </c>
      <c r="AO40" s="295"/>
      <c r="AP40" s="295">
        <f>TRUNC(AO40*$J40,2)</f>
        <v>0</v>
      </c>
      <c r="AQ40" s="302">
        <f>AR40/$H40*100</f>
        <v>0</v>
      </c>
      <c r="AR40" s="295"/>
      <c r="AS40" s="295">
        <f>TRUNC(AR40*$J40,2)</f>
        <v>0</v>
      </c>
      <c r="AT40" s="302">
        <f>AU40/$H40*100</f>
        <v>0</v>
      </c>
      <c r="AU40" s="295"/>
      <c r="AV40" s="303">
        <f>TRUNC(AU40*$J40,2)</f>
        <v>0</v>
      </c>
      <c r="AW40" s="302">
        <f>AX40/$H40*100</f>
        <v>0</v>
      </c>
      <c r="AX40" s="295">
        <f>Q40+N40+T40+W40+Z40+AC40+AF40+AI40+AL40+AO40+AR40+AU40</f>
        <v>0</v>
      </c>
      <c r="AY40" s="304">
        <f>TRUNC(AX40*$J40,2)</f>
        <v>0</v>
      </c>
      <c r="AZ40" s="302">
        <f>BA40/$H40*100</f>
        <v>100</v>
      </c>
      <c r="BA40" s="295">
        <f>H40-AX40</f>
        <v>42.53</v>
      </c>
      <c r="BB40" s="304">
        <f>TRUNC(BA40*$J40,2)</f>
        <v>457.62</v>
      </c>
    </row>
    <row r="41" spans="1:54" ht="15" customHeight="1" x14ac:dyDescent="0.2">
      <c r="A41" s="34"/>
      <c r="B41" s="46"/>
      <c r="C41" s="46"/>
      <c r="D41" s="27"/>
      <c r="E41" s="45"/>
      <c r="F41" s="242"/>
      <c r="G41" s="37"/>
      <c r="H41" s="642" t="s">
        <v>125</v>
      </c>
      <c r="I41" s="642"/>
      <c r="J41" s="642"/>
      <c r="K41" s="43">
        <f>SUM(K39:K40)</f>
        <v>457.62</v>
      </c>
      <c r="L41" s="43">
        <f>SUM(L39:L40)</f>
        <v>0</v>
      </c>
      <c r="M41" s="648" t="s">
        <v>125</v>
      </c>
      <c r="N41" s="642"/>
      <c r="O41" s="43">
        <f>SUM(O39:O40)</f>
        <v>0</v>
      </c>
      <c r="P41" s="642" t="s">
        <v>125</v>
      </c>
      <c r="Q41" s="642"/>
      <c r="R41" s="43">
        <f>SUM(R39:R40)</f>
        <v>0</v>
      </c>
      <c r="S41" s="642" t="s">
        <v>125</v>
      </c>
      <c r="T41" s="642"/>
      <c r="U41" s="43">
        <f>SUM(U39:U40)</f>
        <v>0</v>
      </c>
      <c r="V41" s="642" t="s">
        <v>125</v>
      </c>
      <c r="W41" s="642"/>
      <c r="X41" s="43">
        <f>SUM(X39:X40)</f>
        <v>0</v>
      </c>
      <c r="Y41" s="642" t="s">
        <v>125</v>
      </c>
      <c r="Z41" s="642"/>
      <c r="AA41" s="43">
        <f>SUM(AA39:AA40)</f>
        <v>0</v>
      </c>
      <c r="AB41" s="642" t="s">
        <v>125</v>
      </c>
      <c r="AC41" s="642"/>
      <c r="AD41" s="43">
        <f>SUM(AD39:AD40)</f>
        <v>0</v>
      </c>
      <c r="AE41" s="642" t="s">
        <v>125</v>
      </c>
      <c r="AF41" s="642"/>
      <c r="AG41" s="43">
        <f>SUM(AG39:AG40)</f>
        <v>0</v>
      </c>
      <c r="AH41" s="642" t="s">
        <v>125</v>
      </c>
      <c r="AI41" s="642"/>
      <c r="AJ41" s="43">
        <f>SUM(AJ39:AJ40)</f>
        <v>0</v>
      </c>
      <c r="AK41" s="642" t="s">
        <v>125</v>
      </c>
      <c r="AL41" s="642"/>
      <c r="AM41" s="43">
        <f>SUM(AM39:AM40)</f>
        <v>0</v>
      </c>
      <c r="AN41" s="642" t="s">
        <v>125</v>
      </c>
      <c r="AO41" s="642"/>
      <c r="AP41" s="43">
        <f>SUM(AP39:AP40)</f>
        <v>0</v>
      </c>
      <c r="AQ41" s="642" t="s">
        <v>125</v>
      </c>
      <c r="AR41" s="642"/>
      <c r="AS41" s="43">
        <f>SUM(AS39:AS40)</f>
        <v>0</v>
      </c>
      <c r="AT41" s="642" t="s">
        <v>125</v>
      </c>
      <c r="AU41" s="642"/>
      <c r="AV41" s="43">
        <f>SUM(AV39:AV40)</f>
        <v>0</v>
      </c>
      <c r="AW41" s="642" t="s">
        <v>125</v>
      </c>
      <c r="AX41" s="642"/>
      <c r="AY41" s="43">
        <f>SUM(AY39:AY40)</f>
        <v>0</v>
      </c>
      <c r="AZ41" s="642" t="s">
        <v>125</v>
      </c>
      <c r="BA41" s="642"/>
      <c r="BB41" s="43">
        <f>SUM(BB39:BB40)</f>
        <v>457.62</v>
      </c>
    </row>
    <row r="42" spans="1:54" ht="15" x14ac:dyDescent="0.2">
      <c r="A42" s="34" t="s">
        <v>243</v>
      </c>
      <c r="B42" s="46"/>
      <c r="C42" s="46"/>
      <c r="D42" s="27" t="s">
        <v>250</v>
      </c>
      <c r="E42" s="45"/>
      <c r="F42" s="242"/>
      <c r="G42" s="385"/>
      <c r="H42" s="385"/>
      <c r="I42" s="385"/>
      <c r="J42" s="37"/>
      <c r="K42" s="38"/>
      <c r="L42" s="206"/>
      <c r="M42" s="301"/>
      <c r="N42" s="295"/>
      <c r="O42" s="295"/>
      <c r="P42" s="302"/>
      <c r="Q42" s="295"/>
      <c r="R42" s="295"/>
      <c r="S42" s="302"/>
      <c r="T42" s="295"/>
      <c r="U42" s="295"/>
      <c r="V42" s="302"/>
      <c r="W42" s="295"/>
      <c r="X42" s="295"/>
      <c r="Y42" s="302"/>
      <c r="Z42" s="295"/>
      <c r="AA42" s="295"/>
      <c r="AB42" s="302"/>
      <c r="AC42" s="295"/>
      <c r="AD42" s="295"/>
      <c r="AE42" s="302"/>
      <c r="AF42" s="295"/>
      <c r="AG42" s="295"/>
      <c r="AH42" s="302"/>
      <c r="AI42" s="295"/>
      <c r="AJ42" s="295"/>
      <c r="AK42" s="302"/>
      <c r="AL42" s="295"/>
      <c r="AM42" s="295"/>
      <c r="AN42" s="302"/>
      <c r="AO42" s="295"/>
      <c r="AP42" s="295"/>
      <c r="AQ42" s="302"/>
      <c r="AR42" s="295"/>
      <c r="AS42" s="295"/>
      <c r="AT42" s="302"/>
      <c r="AU42" s="295"/>
      <c r="AV42" s="303"/>
      <c r="AW42" s="302"/>
      <c r="AX42" s="295"/>
      <c r="AY42" s="304"/>
      <c r="AZ42" s="302"/>
      <c r="BA42" s="295"/>
      <c r="BB42" s="304"/>
    </row>
    <row r="43" spans="1:54" ht="42.75" x14ac:dyDescent="0.2">
      <c r="A43" s="39" t="s">
        <v>245</v>
      </c>
      <c r="B43" s="338" t="s">
        <v>252</v>
      </c>
      <c r="C43" s="28" t="s">
        <v>253</v>
      </c>
      <c r="D43" s="281" t="s">
        <v>254</v>
      </c>
      <c r="E43" s="28" t="s">
        <v>98</v>
      </c>
      <c r="F43" s="339">
        <v>24.01</v>
      </c>
      <c r="G43" s="44">
        <f>'Quant Ampl 02 Salas'!F39</f>
        <v>133.80000000000001</v>
      </c>
      <c r="H43" s="44">
        <f>G43</f>
        <v>133.80000000000001</v>
      </c>
      <c r="I43" s="37">
        <f>H43-G43</f>
        <v>0</v>
      </c>
      <c r="J43" s="37">
        <f>ROUND((F43*(1+$K$8))*(1+$G$8),2)</f>
        <v>30.21</v>
      </c>
      <c r="K43" s="38">
        <f>TRUNC(J43*G43,2)</f>
        <v>4042.09</v>
      </c>
      <c r="L43" s="206">
        <f t="shared" si="0"/>
        <v>0</v>
      </c>
      <c r="M43" s="301">
        <f>N43/$H43*100</f>
        <v>0</v>
      </c>
      <c r="N43" s="295"/>
      <c r="O43" s="295">
        <f>TRUNC(N43*$J43,2)</f>
        <v>0</v>
      </c>
      <c r="P43" s="302">
        <f>Q43/$H43*100</f>
        <v>0</v>
      </c>
      <c r="Q43" s="295"/>
      <c r="R43" s="295">
        <f>TRUNC(Q43*$J43,2)</f>
        <v>0</v>
      </c>
      <c r="S43" s="302">
        <f>T43/$H43*100</f>
        <v>0</v>
      </c>
      <c r="T43" s="295"/>
      <c r="U43" s="295">
        <f>TRUNC(T43*$J43,2)</f>
        <v>0</v>
      </c>
      <c r="V43" s="302">
        <f>W43/$H43*100</f>
        <v>0</v>
      </c>
      <c r="W43" s="295"/>
      <c r="X43" s="295">
        <f>TRUNC(W43*$J43,2)</f>
        <v>0</v>
      </c>
      <c r="Y43" s="302">
        <f>Z43/$H43*100</f>
        <v>0</v>
      </c>
      <c r="Z43" s="295"/>
      <c r="AA43" s="295">
        <f>TRUNC(Z43*$J43,2)</f>
        <v>0</v>
      </c>
      <c r="AB43" s="302">
        <f>AC43/$H43*100</f>
        <v>0</v>
      </c>
      <c r="AC43" s="295"/>
      <c r="AD43" s="295">
        <f>TRUNC(AC43*$J43,2)</f>
        <v>0</v>
      </c>
      <c r="AE43" s="302">
        <f>AF43/$H43*100</f>
        <v>0</v>
      </c>
      <c r="AF43" s="295"/>
      <c r="AG43" s="295">
        <f>TRUNC(AF43*$J43,2)</f>
        <v>0</v>
      </c>
      <c r="AH43" s="302">
        <f>AI43/$H43*100</f>
        <v>0</v>
      </c>
      <c r="AI43" s="295"/>
      <c r="AJ43" s="295">
        <f>TRUNC(AI43*$J43,2)</f>
        <v>0</v>
      </c>
      <c r="AK43" s="302">
        <f>AL43/$H43*100</f>
        <v>0</v>
      </c>
      <c r="AL43" s="295"/>
      <c r="AM43" s="295">
        <f>TRUNC(AL43*$J43,2)</f>
        <v>0</v>
      </c>
      <c r="AN43" s="302">
        <f>AO43/$H43*100</f>
        <v>0</v>
      </c>
      <c r="AO43" s="295"/>
      <c r="AP43" s="295">
        <f>TRUNC(AO43*$J43,2)</f>
        <v>0</v>
      </c>
      <c r="AQ43" s="302">
        <f>AR43/$H43*100</f>
        <v>0</v>
      </c>
      <c r="AR43" s="295"/>
      <c r="AS43" s="295">
        <f>TRUNC(AR43*$J43,2)</f>
        <v>0</v>
      </c>
      <c r="AT43" s="302">
        <f>AU43/$H43*100</f>
        <v>0</v>
      </c>
      <c r="AU43" s="295"/>
      <c r="AV43" s="303">
        <f>TRUNC(AU43*$J43,2)</f>
        <v>0</v>
      </c>
      <c r="AW43" s="302">
        <f>AX43/$H43*100</f>
        <v>0</v>
      </c>
      <c r="AX43" s="295">
        <f>Q43+N43+T43+W43+Z43+AC43+AF43+AI43+AL43+AO43+AR43+AU43</f>
        <v>0</v>
      </c>
      <c r="AY43" s="304">
        <f>TRUNC(AX43*$J43,2)</f>
        <v>0</v>
      </c>
      <c r="AZ43" s="302">
        <f>BA43/$H43*100</f>
        <v>100</v>
      </c>
      <c r="BA43" s="295">
        <f>H43-AX43</f>
        <v>133.80000000000001</v>
      </c>
      <c r="BB43" s="304">
        <f>TRUNC(BA43*$J43,2)</f>
        <v>4042.09</v>
      </c>
    </row>
    <row r="44" spans="1:54" s="6" customFormat="1" ht="28.5" x14ac:dyDescent="0.2">
      <c r="A44" s="39" t="s">
        <v>578</v>
      </c>
      <c r="B44" s="338" t="s">
        <v>260</v>
      </c>
      <c r="C44" s="28" t="s">
        <v>261</v>
      </c>
      <c r="D44" s="50" t="s">
        <v>262</v>
      </c>
      <c r="E44" s="28" t="s">
        <v>119</v>
      </c>
      <c r="F44" s="339">
        <v>1135.06</v>
      </c>
      <c r="G44" s="44">
        <f>'Quant Ampl 02 Salas'!F41</f>
        <v>0.84</v>
      </c>
      <c r="H44" s="44">
        <f>G44</f>
        <v>0.84</v>
      </c>
      <c r="I44" s="37">
        <f>H44-G44</f>
        <v>0</v>
      </c>
      <c r="J44" s="37">
        <f>ROUND((F44*(1+$K$8))*(1+$G$8),2)</f>
        <v>1428.02</v>
      </c>
      <c r="K44" s="38">
        <f>TRUNC(J44*G44,2)</f>
        <v>1199.53</v>
      </c>
      <c r="L44" s="206">
        <f t="shared" si="0"/>
        <v>0</v>
      </c>
      <c r="M44" s="301">
        <f>N44/$H44*100</f>
        <v>0</v>
      </c>
      <c r="N44" s="295"/>
      <c r="O44" s="295">
        <f>TRUNC(N44*$J44,2)</f>
        <v>0</v>
      </c>
      <c r="P44" s="302">
        <f>Q44/$H44*100</f>
        <v>0</v>
      </c>
      <c r="Q44" s="295"/>
      <c r="R44" s="295">
        <f>TRUNC(Q44*$J44,2)</f>
        <v>0</v>
      </c>
      <c r="S44" s="302">
        <f>T44/$H44*100</f>
        <v>0</v>
      </c>
      <c r="T44" s="295"/>
      <c r="U44" s="295">
        <f>TRUNC(T44*$J44,2)</f>
        <v>0</v>
      </c>
      <c r="V44" s="302">
        <f>W44/$H44*100</f>
        <v>0</v>
      </c>
      <c r="W44" s="295"/>
      <c r="X44" s="295">
        <f>TRUNC(W44*$J44,2)</f>
        <v>0</v>
      </c>
      <c r="Y44" s="302">
        <f>Z44/$H44*100</f>
        <v>0</v>
      </c>
      <c r="Z44" s="295"/>
      <c r="AA44" s="295">
        <f>TRUNC(Z44*$J44,2)</f>
        <v>0</v>
      </c>
      <c r="AB44" s="302">
        <f>AC44/$H44*100</f>
        <v>0</v>
      </c>
      <c r="AC44" s="295"/>
      <c r="AD44" s="295">
        <f>TRUNC(AC44*$J44,2)</f>
        <v>0</v>
      </c>
      <c r="AE44" s="302">
        <f>AF44/$H44*100</f>
        <v>0</v>
      </c>
      <c r="AF44" s="295"/>
      <c r="AG44" s="295">
        <f>TRUNC(AF44*$J44,2)</f>
        <v>0</v>
      </c>
      <c r="AH44" s="302">
        <f>AI44/$H44*100</f>
        <v>0</v>
      </c>
      <c r="AI44" s="295"/>
      <c r="AJ44" s="295">
        <f>TRUNC(AI44*$J44,2)</f>
        <v>0</v>
      </c>
      <c r="AK44" s="302">
        <f>AL44/$H44*100</f>
        <v>0</v>
      </c>
      <c r="AL44" s="295"/>
      <c r="AM44" s="295">
        <f>TRUNC(AL44*$J44,2)</f>
        <v>0</v>
      </c>
      <c r="AN44" s="302">
        <f>AO44/$H44*100</f>
        <v>0</v>
      </c>
      <c r="AO44" s="295"/>
      <c r="AP44" s="295">
        <f>TRUNC(AO44*$J44,2)</f>
        <v>0</v>
      </c>
      <c r="AQ44" s="302">
        <f>AR44/$H44*100</f>
        <v>0</v>
      </c>
      <c r="AR44" s="295"/>
      <c r="AS44" s="295">
        <f>TRUNC(AR44*$J44,2)</f>
        <v>0</v>
      </c>
      <c r="AT44" s="302">
        <f>AU44/$H44*100</f>
        <v>0</v>
      </c>
      <c r="AU44" s="295"/>
      <c r="AV44" s="303">
        <f>TRUNC(AU44*$J44,2)</f>
        <v>0</v>
      </c>
      <c r="AW44" s="302">
        <f>AX44/$H44*100</f>
        <v>0</v>
      </c>
      <c r="AX44" s="295">
        <f>Q44+N44+T44+W44+Z44+AC44+AF44+AI44+AL44+AO44+AR44+AU44</f>
        <v>0</v>
      </c>
      <c r="AY44" s="304">
        <f>TRUNC(AX44*$J44,2)</f>
        <v>0</v>
      </c>
      <c r="AZ44" s="302">
        <f>BA44/$H44*100</f>
        <v>100</v>
      </c>
      <c r="BA44" s="295">
        <f>H44-AX44</f>
        <v>0.84</v>
      </c>
      <c r="BB44" s="304">
        <f>TRUNC(BA44*$J44,2)</f>
        <v>1199.53</v>
      </c>
    </row>
    <row r="45" spans="1:54" ht="15" customHeight="1" x14ac:dyDescent="0.2">
      <c r="A45" s="34"/>
      <c r="B45" s="46"/>
      <c r="C45" s="46"/>
      <c r="D45" s="27"/>
      <c r="E45" s="45"/>
      <c r="F45" s="242"/>
      <c r="G45" s="37"/>
      <c r="H45" s="642" t="s">
        <v>125</v>
      </c>
      <c r="I45" s="642"/>
      <c r="J45" s="642"/>
      <c r="K45" s="43">
        <f>SUM(K43:K44)</f>
        <v>5241.62</v>
      </c>
      <c r="L45" s="43">
        <f>SUM(L43:L44)</f>
        <v>0</v>
      </c>
      <c r="M45" s="648" t="s">
        <v>125</v>
      </c>
      <c r="N45" s="642"/>
      <c r="O45" s="172">
        <f>SUM(O43:O44)</f>
        <v>0</v>
      </c>
      <c r="P45" s="641" t="s">
        <v>125</v>
      </c>
      <c r="Q45" s="642"/>
      <c r="R45" s="172">
        <f>SUM(R43:R44)</f>
        <v>0</v>
      </c>
      <c r="S45" s="641" t="s">
        <v>125</v>
      </c>
      <c r="T45" s="642"/>
      <c r="U45" s="172">
        <f>SUM(U43:U44)</f>
        <v>0</v>
      </c>
      <c r="V45" s="641" t="s">
        <v>125</v>
      </c>
      <c r="W45" s="642"/>
      <c r="X45" s="172">
        <f>SUM(X43:X44)</f>
        <v>0</v>
      </c>
      <c r="Y45" s="641" t="s">
        <v>125</v>
      </c>
      <c r="Z45" s="642"/>
      <c r="AA45" s="172">
        <f>SUM(AA43:AA44)</f>
        <v>0</v>
      </c>
      <c r="AB45" s="641" t="s">
        <v>125</v>
      </c>
      <c r="AC45" s="642"/>
      <c r="AD45" s="172">
        <f>SUM(AD43:AD44)</f>
        <v>0</v>
      </c>
      <c r="AE45" s="641" t="s">
        <v>125</v>
      </c>
      <c r="AF45" s="642"/>
      <c r="AG45" s="172">
        <f>SUM(AG43:AG44)</f>
        <v>0</v>
      </c>
      <c r="AH45" s="641" t="s">
        <v>125</v>
      </c>
      <c r="AI45" s="642"/>
      <c r="AJ45" s="172">
        <f>SUM(AJ43:AJ44)</f>
        <v>0</v>
      </c>
      <c r="AK45" s="641" t="s">
        <v>125</v>
      </c>
      <c r="AL45" s="642"/>
      <c r="AM45" s="172">
        <f>SUM(AM43:AM44)</f>
        <v>0</v>
      </c>
      <c r="AN45" s="641" t="s">
        <v>125</v>
      </c>
      <c r="AO45" s="642"/>
      <c r="AP45" s="172">
        <f>SUM(AP43:AP44)</f>
        <v>0</v>
      </c>
      <c r="AQ45" s="641" t="s">
        <v>125</v>
      </c>
      <c r="AR45" s="642"/>
      <c r="AS45" s="172">
        <f>SUM(AS43:AS44)</f>
        <v>0</v>
      </c>
      <c r="AT45" s="641" t="s">
        <v>125</v>
      </c>
      <c r="AU45" s="642"/>
      <c r="AV45" s="173">
        <f>SUM(AV43:AV44)</f>
        <v>0</v>
      </c>
      <c r="AW45" s="641" t="s">
        <v>125</v>
      </c>
      <c r="AX45" s="642"/>
      <c r="AY45" s="43">
        <f>SUM(AY43:AY44)</f>
        <v>0</v>
      </c>
      <c r="AZ45" s="641" t="s">
        <v>125</v>
      </c>
      <c r="BA45" s="642"/>
      <c r="BB45" s="43">
        <f>SUM(BB42:BB44)</f>
        <v>5241.62</v>
      </c>
    </row>
    <row r="46" spans="1:54" ht="15" x14ac:dyDescent="0.2">
      <c r="A46" s="34" t="s">
        <v>249</v>
      </c>
      <c r="B46" s="47"/>
      <c r="C46" s="47"/>
      <c r="D46" s="48" t="s">
        <v>264</v>
      </c>
      <c r="E46" s="42"/>
      <c r="F46" s="242"/>
      <c r="G46" s="49"/>
      <c r="H46" s="49"/>
      <c r="I46" s="49"/>
      <c r="J46" s="37"/>
      <c r="K46" s="38"/>
      <c r="L46" s="206"/>
      <c r="M46" s="301"/>
      <c r="N46" s="295"/>
      <c r="O46" s="295"/>
      <c r="P46" s="302"/>
      <c r="Q46" s="295"/>
      <c r="R46" s="295"/>
      <c r="S46" s="302"/>
      <c r="T46" s="295"/>
      <c r="U46" s="295"/>
      <c r="V46" s="302"/>
      <c r="W46" s="295"/>
      <c r="X46" s="295"/>
      <c r="Y46" s="302"/>
      <c r="Z46" s="295"/>
      <c r="AA46" s="295"/>
      <c r="AB46" s="302"/>
      <c r="AC46" s="295"/>
      <c r="AD46" s="295"/>
      <c r="AE46" s="302"/>
      <c r="AF46" s="295"/>
      <c r="AG46" s="295"/>
      <c r="AH46" s="302"/>
      <c r="AI46" s="295"/>
      <c r="AJ46" s="295"/>
      <c r="AK46" s="302"/>
      <c r="AL46" s="295"/>
      <c r="AM46" s="295"/>
      <c r="AN46" s="302"/>
      <c r="AO46" s="295"/>
      <c r="AP46" s="295"/>
      <c r="AQ46" s="302"/>
      <c r="AR46" s="295"/>
      <c r="AS46" s="295"/>
      <c r="AT46" s="302"/>
      <c r="AU46" s="295"/>
      <c r="AV46" s="303"/>
      <c r="AW46" s="302"/>
      <c r="AX46" s="295"/>
      <c r="AY46" s="304"/>
      <c r="AZ46" s="302"/>
      <c r="BA46" s="295"/>
      <c r="BB46" s="304"/>
    </row>
    <row r="47" spans="1:54" ht="15" x14ac:dyDescent="0.2">
      <c r="A47" s="39" t="s">
        <v>251</v>
      </c>
      <c r="B47" s="338" t="s">
        <v>266</v>
      </c>
      <c r="C47" s="28" t="s">
        <v>267</v>
      </c>
      <c r="D47" s="58" t="s">
        <v>268</v>
      </c>
      <c r="E47" s="28" t="s">
        <v>98</v>
      </c>
      <c r="F47" s="339">
        <v>53.79</v>
      </c>
      <c r="G47" s="49">
        <f>'Quant Ampl 02 Salas'!F44</f>
        <v>161.97999999999999</v>
      </c>
      <c r="H47" s="49">
        <f>G47</f>
        <v>161.97999999999999</v>
      </c>
      <c r="I47" s="37">
        <f>H47-G47</f>
        <v>0</v>
      </c>
      <c r="J47" s="37">
        <f>ROUND((F47*(1+$K$8))*(1+$G$8),2)</f>
        <v>67.67</v>
      </c>
      <c r="K47" s="38">
        <f>TRUNC(J47*G47,2)</f>
        <v>10961.18</v>
      </c>
      <c r="L47" s="206">
        <f t="shared" si="0"/>
        <v>0</v>
      </c>
      <c r="M47" s="301">
        <f>N47/$H47*100</f>
        <v>0</v>
      </c>
      <c r="N47" s="295"/>
      <c r="O47" s="295">
        <f>TRUNC(N47*$J47,2)</f>
        <v>0</v>
      </c>
      <c r="P47" s="302">
        <f>Q47/$H47*100</f>
        <v>0</v>
      </c>
      <c r="Q47" s="295"/>
      <c r="R47" s="295">
        <f>TRUNC(Q47*$J47,2)</f>
        <v>0</v>
      </c>
      <c r="S47" s="302">
        <f>T47/$H47*100</f>
        <v>0</v>
      </c>
      <c r="T47" s="295"/>
      <c r="U47" s="295">
        <f>TRUNC(T47*$J47,2)</f>
        <v>0</v>
      </c>
      <c r="V47" s="302">
        <f>W47/$H47*100</f>
        <v>0</v>
      </c>
      <c r="W47" s="295"/>
      <c r="X47" s="295">
        <f>TRUNC(W47*$J47,2)</f>
        <v>0</v>
      </c>
      <c r="Y47" s="302">
        <f>Z47/$H47*100</f>
        <v>0</v>
      </c>
      <c r="Z47" s="295"/>
      <c r="AA47" s="295">
        <f>TRUNC(Z47*$J47,2)</f>
        <v>0</v>
      </c>
      <c r="AB47" s="302">
        <f>AC47/$H47*100</f>
        <v>0</v>
      </c>
      <c r="AC47" s="295"/>
      <c r="AD47" s="295">
        <f>TRUNC(AC47*$J47,2)</f>
        <v>0</v>
      </c>
      <c r="AE47" s="302">
        <f>AF47/$H47*100</f>
        <v>0</v>
      </c>
      <c r="AF47" s="295"/>
      <c r="AG47" s="295">
        <f>TRUNC(AF47*$J47,2)</f>
        <v>0</v>
      </c>
      <c r="AH47" s="302">
        <f>AI47/$H47*100</f>
        <v>0</v>
      </c>
      <c r="AI47" s="295"/>
      <c r="AJ47" s="295">
        <f>TRUNC(AI47*$J47,2)</f>
        <v>0</v>
      </c>
      <c r="AK47" s="302">
        <f>AL47/$H47*100</f>
        <v>0</v>
      </c>
      <c r="AL47" s="295"/>
      <c r="AM47" s="295">
        <f>TRUNC(AL47*$J47,2)</f>
        <v>0</v>
      </c>
      <c r="AN47" s="302">
        <f>AO47/$H47*100</f>
        <v>0</v>
      </c>
      <c r="AO47" s="295"/>
      <c r="AP47" s="295">
        <f>TRUNC(AO47*$J47,2)</f>
        <v>0</v>
      </c>
      <c r="AQ47" s="302">
        <f>AR47/$H47*100</f>
        <v>0</v>
      </c>
      <c r="AR47" s="295"/>
      <c r="AS47" s="295">
        <f>TRUNC(AR47*$J47,2)</f>
        <v>0</v>
      </c>
      <c r="AT47" s="302">
        <f>AU47/$H47*100</f>
        <v>0</v>
      </c>
      <c r="AU47" s="295"/>
      <c r="AV47" s="303">
        <f>TRUNC(AU47*$J47,2)</f>
        <v>0</v>
      </c>
      <c r="AW47" s="302">
        <f>AX47/$H47*100</f>
        <v>0</v>
      </c>
      <c r="AX47" s="295">
        <f>Q47+N47+T47+W47+Z47+AC47+AF47+AI47+AL47+AO47+AR47+AU47</f>
        <v>0</v>
      </c>
      <c r="AY47" s="304">
        <f>TRUNC(AX47*$J47,2)</f>
        <v>0</v>
      </c>
      <c r="AZ47" s="302">
        <f>BA47/$H47*100</f>
        <v>100</v>
      </c>
      <c r="BA47" s="295">
        <f>H47-AX47</f>
        <v>161.97999999999999</v>
      </c>
      <c r="BB47" s="304">
        <f>TRUNC(BA47*$J47,2)</f>
        <v>10961.18</v>
      </c>
    </row>
    <row r="48" spans="1:54" ht="28.5" x14ac:dyDescent="0.2">
      <c r="A48" s="39" t="s">
        <v>255</v>
      </c>
      <c r="B48" s="37" t="s">
        <v>104</v>
      </c>
      <c r="C48" s="37" t="s">
        <v>104</v>
      </c>
      <c r="D48" s="92" t="s">
        <v>270</v>
      </c>
      <c r="E48" s="28" t="s">
        <v>98</v>
      </c>
      <c r="F48" s="341">
        <f>23.09*1.25</f>
        <v>28.862500000000001</v>
      </c>
      <c r="G48" s="49">
        <f>'Quant Ampl 02 Salas'!F45</f>
        <v>161.97999999999999</v>
      </c>
      <c r="H48" s="49">
        <f>G48</f>
        <v>161.97999999999999</v>
      </c>
      <c r="I48" s="37">
        <f>H48-G48</f>
        <v>0</v>
      </c>
      <c r="J48" s="37">
        <f>ROUND((F48*(1+$K$8))*(1+$G$8),2)</f>
        <v>36.31</v>
      </c>
      <c r="K48" s="38">
        <f>TRUNC(J48*G48,2)</f>
        <v>5881.49</v>
      </c>
      <c r="L48" s="206">
        <f t="shared" si="0"/>
        <v>0</v>
      </c>
      <c r="M48" s="301">
        <f>N48/$H48*100</f>
        <v>0</v>
      </c>
      <c r="N48" s="295"/>
      <c r="O48" s="295">
        <f>TRUNC(N48*$J48,2)</f>
        <v>0</v>
      </c>
      <c r="P48" s="302">
        <f>Q48/$H48*100</f>
        <v>0</v>
      </c>
      <c r="Q48" s="295"/>
      <c r="R48" s="295">
        <f>TRUNC(Q48*$J48,2)</f>
        <v>0</v>
      </c>
      <c r="S48" s="302">
        <f>T48/$H48*100</f>
        <v>0</v>
      </c>
      <c r="T48" s="295"/>
      <c r="U48" s="295">
        <f>TRUNC(T48*$J48,2)</f>
        <v>0</v>
      </c>
      <c r="V48" s="302">
        <f>W48/$H48*100</f>
        <v>0</v>
      </c>
      <c r="W48" s="295"/>
      <c r="X48" s="295">
        <f>TRUNC(W48*$J48,2)</f>
        <v>0</v>
      </c>
      <c r="Y48" s="302">
        <f>Z48/$H48*100</f>
        <v>0</v>
      </c>
      <c r="Z48" s="295"/>
      <c r="AA48" s="295">
        <f>TRUNC(Z48*$J48,2)</f>
        <v>0</v>
      </c>
      <c r="AB48" s="302">
        <f>AC48/$H48*100</f>
        <v>0</v>
      </c>
      <c r="AC48" s="295"/>
      <c r="AD48" s="295">
        <f>TRUNC(AC48*$J48,2)</f>
        <v>0</v>
      </c>
      <c r="AE48" s="302">
        <f>AF48/$H48*100</f>
        <v>0</v>
      </c>
      <c r="AF48" s="295"/>
      <c r="AG48" s="295">
        <f>TRUNC(AF48*$J48,2)</f>
        <v>0</v>
      </c>
      <c r="AH48" s="302">
        <f>AI48/$H48*100</f>
        <v>0</v>
      </c>
      <c r="AI48" s="295"/>
      <c r="AJ48" s="295">
        <f>TRUNC(AI48*$J48,2)</f>
        <v>0</v>
      </c>
      <c r="AK48" s="302">
        <f>AL48/$H48*100</f>
        <v>0</v>
      </c>
      <c r="AL48" s="295"/>
      <c r="AM48" s="295">
        <f>TRUNC(AL48*$J48,2)</f>
        <v>0</v>
      </c>
      <c r="AN48" s="302">
        <f>AO48/$H48*100</f>
        <v>0</v>
      </c>
      <c r="AO48" s="295"/>
      <c r="AP48" s="295">
        <f>TRUNC(AO48*$J48,2)</f>
        <v>0</v>
      </c>
      <c r="AQ48" s="302">
        <f>AR48/$H48*100</f>
        <v>0</v>
      </c>
      <c r="AR48" s="295"/>
      <c r="AS48" s="295">
        <f>TRUNC(AR48*$J48,2)</f>
        <v>0</v>
      </c>
      <c r="AT48" s="302">
        <f>AU48/$H48*100</f>
        <v>0</v>
      </c>
      <c r="AU48" s="295"/>
      <c r="AV48" s="303">
        <f>TRUNC(AU48*$J48,2)</f>
        <v>0</v>
      </c>
      <c r="AW48" s="302">
        <f>AX48/$H48*100</f>
        <v>0</v>
      </c>
      <c r="AX48" s="295">
        <f>Q48+N48+T48+W48+Z48+AC48+AF48+AI48+AL48+AO48+AR48+AU48</f>
        <v>0</v>
      </c>
      <c r="AY48" s="304">
        <f>TRUNC(AX48*$J48,2)</f>
        <v>0</v>
      </c>
      <c r="AZ48" s="302">
        <f>BA48/$H48*100</f>
        <v>100</v>
      </c>
      <c r="BA48" s="295">
        <f>H48-AX48</f>
        <v>161.97999999999999</v>
      </c>
      <c r="BB48" s="304">
        <f>TRUNC(BA48*$J48,2)</f>
        <v>5881.49</v>
      </c>
    </row>
    <row r="49" spans="1:54" ht="28.5" x14ac:dyDescent="0.2">
      <c r="A49" s="39" t="s">
        <v>259</v>
      </c>
      <c r="B49" s="338" t="s">
        <v>272</v>
      </c>
      <c r="C49" s="28" t="s">
        <v>273</v>
      </c>
      <c r="D49" s="50" t="s">
        <v>274</v>
      </c>
      <c r="E49" s="28" t="s">
        <v>275</v>
      </c>
      <c r="F49" s="329">
        <v>10.18</v>
      </c>
      <c r="G49" s="49">
        <f>'Quant Ampl 02 Salas'!F46</f>
        <v>27.54</v>
      </c>
      <c r="H49" s="49">
        <f>G49</f>
        <v>27.54</v>
      </c>
      <c r="I49" s="37">
        <f>H49-G49</f>
        <v>0</v>
      </c>
      <c r="J49" s="37">
        <f>ROUND((F49*(1+$K$8))*(1+$G$8),2)</f>
        <v>12.81</v>
      </c>
      <c r="K49" s="38">
        <f>TRUNC(J49*G49,2)</f>
        <v>352.78</v>
      </c>
      <c r="L49" s="206">
        <f t="shared" si="0"/>
        <v>0</v>
      </c>
      <c r="M49" s="301">
        <f>N49/$H49*100</f>
        <v>0</v>
      </c>
      <c r="N49" s="295"/>
      <c r="O49" s="295">
        <f>TRUNC(N49*$J49,2)</f>
        <v>0</v>
      </c>
      <c r="P49" s="302">
        <f>Q49/$H49*100</f>
        <v>0</v>
      </c>
      <c r="Q49" s="295"/>
      <c r="R49" s="295">
        <f>TRUNC(Q49*$J49,2)</f>
        <v>0</v>
      </c>
      <c r="S49" s="302">
        <f>T49/$H49*100</f>
        <v>0</v>
      </c>
      <c r="T49" s="295"/>
      <c r="U49" s="295">
        <f>TRUNC(T49*$J49,2)</f>
        <v>0</v>
      </c>
      <c r="V49" s="302">
        <f>W49/$H49*100</f>
        <v>0</v>
      </c>
      <c r="W49" s="295"/>
      <c r="X49" s="295">
        <f>TRUNC(W49*$J49,2)</f>
        <v>0</v>
      </c>
      <c r="Y49" s="302">
        <f>Z49/$H49*100</f>
        <v>0</v>
      </c>
      <c r="Z49" s="295"/>
      <c r="AA49" s="295">
        <f>TRUNC(Z49*$J49,2)</f>
        <v>0</v>
      </c>
      <c r="AB49" s="302">
        <f>AC49/$H49*100</f>
        <v>0</v>
      </c>
      <c r="AC49" s="295"/>
      <c r="AD49" s="295">
        <f>TRUNC(AC49*$J49,2)</f>
        <v>0</v>
      </c>
      <c r="AE49" s="302">
        <f>AF49/$H49*100</f>
        <v>0</v>
      </c>
      <c r="AF49" s="295"/>
      <c r="AG49" s="295">
        <f>TRUNC(AF49*$J49,2)</f>
        <v>0</v>
      </c>
      <c r="AH49" s="302">
        <f>AI49/$H49*100</f>
        <v>0</v>
      </c>
      <c r="AI49" s="295"/>
      <c r="AJ49" s="295">
        <f>TRUNC(AI49*$J49,2)</f>
        <v>0</v>
      </c>
      <c r="AK49" s="302">
        <f>AL49/$H49*100</f>
        <v>0</v>
      </c>
      <c r="AL49" s="295"/>
      <c r="AM49" s="295">
        <f>TRUNC(AL49*$J49,2)</f>
        <v>0</v>
      </c>
      <c r="AN49" s="302">
        <f>AO49/$H49*100</f>
        <v>0</v>
      </c>
      <c r="AO49" s="295"/>
      <c r="AP49" s="295">
        <f>TRUNC(AO49*$J49,2)</f>
        <v>0</v>
      </c>
      <c r="AQ49" s="302">
        <f>AR49/$H49*100</f>
        <v>0</v>
      </c>
      <c r="AR49" s="295"/>
      <c r="AS49" s="295">
        <f>TRUNC(AR49*$J49,2)</f>
        <v>0</v>
      </c>
      <c r="AT49" s="302">
        <f>AU49/$H49*100</f>
        <v>0</v>
      </c>
      <c r="AU49" s="295"/>
      <c r="AV49" s="303">
        <f>TRUNC(AU49*$J49,2)</f>
        <v>0</v>
      </c>
      <c r="AW49" s="302">
        <f>AX49/$H49*100</f>
        <v>0</v>
      </c>
      <c r="AX49" s="295">
        <f>Q49+N49+T49+W49+Z49+AC49+AF49+AI49+AL49+AO49+AR49+AU49</f>
        <v>0</v>
      </c>
      <c r="AY49" s="304">
        <f>TRUNC(AX49*$J49,2)</f>
        <v>0</v>
      </c>
      <c r="AZ49" s="302">
        <f>BA49/$H49*100</f>
        <v>100</v>
      </c>
      <c r="BA49" s="295">
        <f>H49-AX49</f>
        <v>27.54</v>
      </c>
      <c r="BB49" s="304">
        <f>TRUNC(BA49*$J49,2)</f>
        <v>352.78</v>
      </c>
    </row>
    <row r="50" spans="1:54" ht="28.5" x14ac:dyDescent="0.2">
      <c r="A50" s="39" t="s">
        <v>697</v>
      </c>
      <c r="B50" s="37" t="s">
        <v>104</v>
      </c>
      <c r="C50" s="37" t="s">
        <v>104</v>
      </c>
      <c r="D50" s="92" t="s">
        <v>287</v>
      </c>
      <c r="E50" s="28" t="s">
        <v>275</v>
      </c>
      <c r="F50" s="341">
        <f>11.61*1.25</f>
        <v>14.512499999999999</v>
      </c>
      <c r="G50" s="49">
        <f>'Quant Ampl 02 Salas'!F47</f>
        <v>53.1</v>
      </c>
      <c r="H50" s="49">
        <f>G50</f>
        <v>53.1</v>
      </c>
      <c r="I50" s="37">
        <f>H50-G50</f>
        <v>0</v>
      </c>
      <c r="J50" s="37">
        <f>ROUND((F50*(1+$K$8))*(1+$G$8),2)</f>
        <v>18.260000000000002</v>
      </c>
      <c r="K50" s="38">
        <f>TRUNC(J50*G50,2)</f>
        <v>969.6</v>
      </c>
      <c r="L50" s="206">
        <f t="shared" si="0"/>
        <v>0</v>
      </c>
      <c r="M50" s="301">
        <f>N50/$H50*100</f>
        <v>0</v>
      </c>
      <c r="N50" s="295"/>
      <c r="O50" s="295">
        <f>TRUNC(N50*$J50,2)</f>
        <v>0</v>
      </c>
      <c r="P50" s="302">
        <f>Q50/$H50*100</f>
        <v>0</v>
      </c>
      <c r="Q50" s="295"/>
      <c r="R50" s="295">
        <f>TRUNC(Q50*$J50,2)</f>
        <v>0</v>
      </c>
      <c r="S50" s="302">
        <f>T50/$H50*100</f>
        <v>0</v>
      </c>
      <c r="T50" s="295"/>
      <c r="U50" s="295">
        <f>TRUNC(T50*$J50,2)</f>
        <v>0</v>
      </c>
      <c r="V50" s="302">
        <f>W50/$H50*100</f>
        <v>0</v>
      </c>
      <c r="W50" s="295"/>
      <c r="X50" s="295">
        <f>TRUNC(W50*$J50,2)</f>
        <v>0</v>
      </c>
      <c r="Y50" s="302">
        <f>Z50/$H50*100</f>
        <v>0</v>
      </c>
      <c r="Z50" s="295"/>
      <c r="AA50" s="295">
        <f>TRUNC(Z50*$J50,2)</f>
        <v>0</v>
      </c>
      <c r="AB50" s="302">
        <f>AC50/$H50*100</f>
        <v>0</v>
      </c>
      <c r="AC50" s="295"/>
      <c r="AD50" s="295">
        <f>TRUNC(AC50*$J50,2)</f>
        <v>0</v>
      </c>
      <c r="AE50" s="302">
        <f>AF50/$H50*100</f>
        <v>0</v>
      </c>
      <c r="AF50" s="295"/>
      <c r="AG50" s="295">
        <f>TRUNC(AF50*$J50,2)</f>
        <v>0</v>
      </c>
      <c r="AH50" s="302">
        <f>AI50/$H50*100</f>
        <v>0</v>
      </c>
      <c r="AI50" s="295"/>
      <c r="AJ50" s="295">
        <f>TRUNC(AI50*$J50,2)</f>
        <v>0</v>
      </c>
      <c r="AK50" s="302">
        <f>AL50/$H50*100</f>
        <v>0</v>
      </c>
      <c r="AL50" s="295"/>
      <c r="AM50" s="295">
        <f>TRUNC(AL50*$J50,2)</f>
        <v>0</v>
      </c>
      <c r="AN50" s="302">
        <f>AO50/$H50*100</f>
        <v>0</v>
      </c>
      <c r="AO50" s="295"/>
      <c r="AP50" s="295">
        <f>TRUNC(AO50*$J50,2)</f>
        <v>0</v>
      </c>
      <c r="AQ50" s="302">
        <f>AR50/$H50*100</f>
        <v>0</v>
      </c>
      <c r="AR50" s="295"/>
      <c r="AS50" s="295">
        <f>TRUNC(AR50*$J50,2)</f>
        <v>0</v>
      </c>
      <c r="AT50" s="302">
        <f>AU50/$H50*100</f>
        <v>0</v>
      </c>
      <c r="AU50" s="295"/>
      <c r="AV50" s="303">
        <f>TRUNC(AU50*$J50,2)</f>
        <v>0</v>
      </c>
      <c r="AW50" s="302">
        <f>AX50/$H50*100</f>
        <v>0</v>
      </c>
      <c r="AX50" s="295">
        <f>Q50+N50+T50+W50+Z50+AC50+AF50+AI50+AL50+AO50+AR50+AU50</f>
        <v>0</v>
      </c>
      <c r="AY50" s="304">
        <f>TRUNC(AX50*$J50,2)</f>
        <v>0</v>
      </c>
      <c r="AZ50" s="302">
        <f>BA50/$H50*100</f>
        <v>100</v>
      </c>
      <c r="BA50" s="295">
        <f>H50-AX50</f>
        <v>53.1</v>
      </c>
      <c r="BB50" s="304">
        <f>TRUNC(BA50*$J50,2)</f>
        <v>969.6</v>
      </c>
    </row>
    <row r="51" spans="1:54" ht="15" customHeight="1" x14ac:dyDescent="0.2">
      <c r="A51" s="39"/>
      <c r="B51" s="45"/>
      <c r="C51" s="45"/>
      <c r="D51" s="41"/>
      <c r="E51" s="42"/>
      <c r="F51" s="242"/>
      <c r="G51" s="37"/>
      <c r="H51" s="642" t="s">
        <v>125</v>
      </c>
      <c r="I51" s="642"/>
      <c r="J51" s="642"/>
      <c r="K51" s="43">
        <f>SUM(K47:K50)</f>
        <v>18165.049999999996</v>
      </c>
      <c r="L51" s="43">
        <f>SUM(L47:L50)</f>
        <v>0</v>
      </c>
      <c r="M51" s="648" t="s">
        <v>125</v>
      </c>
      <c r="N51" s="642"/>
      <c r="O51" s="172">
        <f>SUM(O47:O50)</f>
        <v>0</v>
      </c>
      <c r="P51" s="641" t="s">
        <v>125</v>
      </c>
      <c r="Q51" s="642"/>
      <c r="R51" s="172">
        <f>SUM(R47:R50)</f>
        <v>0</v>
      </c>
      <c r="S51" s="641" t="s">
        <v>125</v>
      </c>
      <c r="T51" s="642"/>
      <c r="U51" s="172">
        <f>SUM(U47:U50)</f>
        <v>0</v>
      </c>
      <c r="V51" s="641" t="s">
        <v>125</v>
      </c>
      <c r="W51" s="642"/>
      <c r="X51" s="172">
        <f>SUM(X47:X50)</f>
        <v>0</v>
      </c>
      <c r="Y51" s="641" t="s">
        <v>125</v>
      </c>
      <c r="Z51" s="642"/>
      <c r="AA51" s="172">
        <f>SUM(AA47:AA50)</f>
        <v>0</v>
      </c>
      <c r="AB51" s="641" t="s">
        <v>125</v>
      </c>
      <c r="AC51" s="642"/>
      <c r="AD51" s="172">
        <f>SUM(AD47:AD50)</f>
        <v>0</v>
      </c>
      <c r="AE51" s="641" t="s">
        <v>125</v>
      </c>
      <c r="AF51" s="642"/>
      <c r="AG51" s="172">
        <f>SUM(AG47:AG50)</f>
        <v>0</v>
      </c>
      <c r="AH51" s="641" t="s">
        <v>125</v>
      </c>
      <c r="AI51" s="642"/>
      <c r="AJ51" s="172">
        <f>SUM(AJ47:AJ50)</f>
        <v>0</v>
      </c>
      <c r="AK51" s="641" t="s">
        <v>125</v>
      </c>
      <c r="AL51" s="642"/>
      <c r="AM51" s="172">
        <f>SUM(AM47:AM50)</f>
        <v>0</v>
      </c>
      <c r="AN51" s="641" t="s">
        <v>125</v>
      </c>
      <c r="AO51" s="642"/>
      <c r="AP51" s="172">
        <f>SUM(AP47:AP50)</f>
        <v>0</v>
      </c>
      <c r="AQ51" s="641" t="s">
        <v>125</v>
      </c>
      <c r="AR51" s="642"/>
      <c r="AS51" s="172">
        <f>SUM(AS47:AS50)</f>
        <v>0</v>
      </c>
      <c r="AT51" s="641" t="s">
        <v>125</v>
      </c>
      <c r="AU51" s="642"/>
      <c r="AV51" s="173">
        <f>SUM(AV47:AV50)</f>
        <v>0</v>
      </c>
      <c r="AW51" s="641" t="s">
        <v>125</v>
      </c>
      <c r="AX51" s="642"/>
      <c r="AY51" s="43">
        <f>SUM(AY47:AY50)</f>
        <v>0</v>
      </c>
      <c r="AZ51" s="641" t="s">
        <v>125</v>
      </c>
      <c r="BA51" s="642"/>
      <c r="BB51" s="43">
        <f>SUM(BB47:BB50)</f>
        <v>18165.049999999996</v>
      </c>
    </row>
    <row r="52" spans="1:54" ht="15" x14ac:dyDescent="0.2">
      <c r="A52" s="34" t="s">
        <v>263</v>
      </c>
      <c r="B52" s="47"/>
      <c r="C52" s="47"/>
      <c r="D52" s="48" t="s">
        <v>297</v>
      </c>
      <c r="E52" s="42"/>
      <c r="F52" s="242"/>
      <c r="G52" s="49"/>
      <c r="H52" s="49"/>
      <c r="I52" s="49"/>
      <c r="J52" s="37"/>
      <c r="K52" s="38"/>
      <c r="L52" s="206"/>
      <c r="M52" s="301"/>
      <c r="N52" s="295"/>
      <c r="O52" s="295"/>
      <c r="P52" s="302"/>
      <c r="Q52" s="295"/>
      <c r="R52" s="295"/>
      <c r="S52" s="302"/>
      <c r="T52" s="295"/>
      <c r="U52" s="295"/>
      <c r="V52" s="302"/>
      <c r="W52" s="295"/>
      <c r="X52" s="295"/>
      <c r="Y52" s="302"/>
      <c r="Z52" s="295"/>
      <c r="AA52" s="295"/>
      <c r="AB52" s="302"/>
      <c r="AC52" s="295"/>
      <c r="AD52" s="295"/>
      <c r="AE52" s="302"/>
      <c r="AF52" s="295"/>
      <c r="AG52" s="295"/>
      <c r="AH52" s="302"/>
      <c r="AI52" s="295"/>
      <c r="AJ52" s="295"/>
      <c r="AK52" s="302"/>
      <c r="AL52" s="295"/>
      <c r="AM52" s="295"/>
      <c r="AN52" s="302"/>
      <c r="AO52" s="295"/>
      <c r="AP52" s="295"/>
      <c r="AQ52" s="302"/>
      <c r="AR52" s="295"/>
      <c r="AS52" s="295"/>
      <c r="AT52" s="302"/>
      <c r="AU52" s="295"/>
      <c r="AV52" s="303"/>
      <c r="AW52" s="302"/>
      <c r="AX52" s="295"/>
      <c r="AY52" s="304"/>
      <c r="AZ52" s="302"/>
      <c r="BA52" s="295"/>
      <c r="BB52" s="304"/>
    </row>
    <row r="53" spans="1:54" ht="57" x14ac:dyDescent="0.2">
      <c r="A53" s="39" t="s">
        <v>265</v>
      </c>
      <c r="B53" s="37" t="s">
        <v>104</v>
      </c>
      <c r="C53" s="37" t="s">
        <v>104</v>
      </c>
      <c r="D53" s="95" t="s">
        <v>698</v>
      </c>
      <c r="E53" s="28" t="s">
        <v>98</v>
      </c>
      <c r="F53" s="346">
        <f>230*1.25</f>
        <v>287.5</v>
      </c>
      <c r="G53" s="49">
        <f>'Quant Ampl 02 Salas'!F51</f>
        <v>3.78</v>
      </c>
      <c r="H53" s="49">
        <f>G53</f>
        <v>3.78</v>
      </c>
      <c r="I53" s="37">
        <f>H53-G53</f>
        <v>0</v>
      </c>
      <c r="J53" s="37">
        <f>ROUND((F53*(1+$K$8))*(1+$G$8),2)</f>
        <v>361.7</v>
      </c>
      <c r="K53" s="38">
        <f>TRUNC(J53*G53,2)</f>
        <v>1367.22</v>
      </c>
      <c r="L53" s="206">
        <f t="shared" si="0"/>
        <v>0</v>
      </c>
      <c r="M53" s="301">
        <f>N53/$H53*100</f>
        <v>0</v>
      </c>
      <c r="N53" s="295"/>
      <c r="O53" s="295">
        <f>TRUNC(N53*$J53,2)</f>
        <v>0</v>
      </c>
      <c r="P53" s="302">
        <f>Q53/$H53*100</f>
        <v>0</v>
      </c>
      <c r="Q53" s="295"/>
      <c r="R53" s="295">
        <f>TRUNC(Q53*$J53,2)</f>
        <v>0</v>
      </c>
      <c r="S53" s="302">
        <f>T53/$H53*100</f>
        <v>0</v>
      </c>
      <c r="T53" s="295"/>
      <c r="U53" s="295">
        <f>TRUNC(T53*$J53,2)</f>
        <v>0</v>
      </c>
      <c r="V53" s="302">
        <f>W53/$H53*100</f>
        <v>0</v>
      </c>
      <c r="W53" s="295"/>
      <c r="X53" s="295">
        <f>TRUNC(W53*$J53,2)</f>
        <v>0</v>
      </c>
      <c r="Y53" s="302">
        <f>Z53/$H53*100</f>
        <v>0</v>
      </c>
      <c r="Z53" s="295"/>
      <c r="AA53" s="295">
        <f>TRUNC(Z53*$J53,2)</f>
        <v>0</v>
      </c>
      <c r="AB53" s="302">
        <f>AC53/$H53*100</f>
        <v>0</v>
      </c>
      <c r="AC53" s="295"/>
      <c r="AD53" s="295">
        <f>TRUNC(AC53*$J53,2)</f>
        <v>0</v>
      </c>
      <c r="AE53" s="302">
        <f>AF53/$H53*100</f>
        <v>0</v>
      </c>
      <c r="AF53" s="295"/>
      <c r="AG53" s="295">
        <f>TRUNC(AF53*$J53,2)</f>
        <v>0</v>
      </c>
      <c r="AH53" s="302">
        <f>AI53/$H53*100</f>
        <v>0</v>
      </c>
      <c r="AI53" s="295"/>
      <c r="AJ53" s="295">
        <f>TRUNC(AI53*$J53,2)</f>
        <v>0</v>
      </c>
      <c r="AK53" s="302">
        <f>AL53/$H53*100</f>
        <v>0</v>
      </c>
      <c r="AL53" s="295"/>
      <c r="AM53" s="295">
        <f>TRUNC(AL53*$J53,2)</f>
        <v>0</v>
      </c>
      <c r="AN53" s="302">
        <f>AO53/$H53*100</f>
        <v>0</v>
      </c>
      <c r="AO53" s="295"/>
      <c r="AP53" s="295">
        <f>TRUNC(AO53*$J53,2)</f>
        <v>0</v>
      </c>
      <c r="AQ53" s="302">
        <f>AR53/$H53*100</f>
        <v>0</v>
      </c>
      <c r="AR53" s="295"/>
      <c r="AS53" s="295">
        <f>TRUNC(AR53*$J53,2)</f>
        <v>0</v>
      </c>
      <c r="AT53" s="302">
        <f>AU53/$H53*100</f>
        <v>0</v>
      </c>
      <c r="AU53" s="295"/>
      <c r="AV53" s="303">
        <f>TRUNC(AU53*$J53,2)</f>
        <v>0</v>
      </c>
      <c r="AW53" s="302">
        <f>AX53/$H53*100</f>
        <v>0</v>
      </c>
      <c r="AX53" s="295">
        <f>Q53+N53+T53+W53+Z53+AC53+AF53+AI53+AL53+AO53+AR53+AU53</f>
        <v>0</v>
      </c>
      <c r="AY53" s="304">
        <f>TRUNC(AX53*$J53,2)</f>
        <v>0</v>
      </c>
      <c r="AZ53" s="302">
        <f>BA53/$H53*100</f>
        <v>100</v>
      </c>
      <c r="BA53" s="295">
        <f>H53-AX53</f>
        <v>3.78</v>
      </c>
      <c r="BB53" s="304">
        <f>TRUNC(BA53*$J53,2)</f>
        <v>1367.22</v>
      </c>
    </row>
    <row r="54" spans="1:54" s="62" customFormat="1" ht="30" customHeight="1" x14ac:dyDescent="0.2">
      <c r="A54" s="39" t="s">
        <v>269</v>
      </c>
      <c r="B54" s="37" t="s">
        <v>104</v>
      </c>
      <c r="C54" s="37" t="s">
        <v>104</v>
      </c>
      <c r="D54" s="97" t="s">
        <v>309</v>
      </c>
      <c r="E54" s="28" t="s">
        <v>110</v>
      </c>
      <c r="F54" s="341">
        <f>354.09*1.25</f>
        <v>442.61249999999995</v>
      </c>
      <c r="G54" s="49">
        <f>'Quant Ampl 02 Salas'!F56</f>
        <v>4</v>
      </c>
      <c r="H54" s="49">
        <f>G54</f>
        <v>4</v>
      </c>
      <c r="I54" s="37">
        <f>H54-G54</f>
        <v>0</v>
      </c>
      <c r="J54" s="37">
        <f>ROUND((F54*(1+$K$8))*(1+$G$8),2)</f>
        <v>556.85</v>
      </c>
      <c r="K54" s="38">
        <f>TRUNC(J54*G54,2)</f>
        <v>2227.4</v>
      </c>
      <c r="L54" s="206">
        <f t="shared" si="0"/>
        <v>0</v>
      </c>
      <c r="M54" s="301">
        <f>N54/$H54*100</f>
        <v>0</v>
      </c>
      <c r="N54" s="295"/>
      <c r="O54" s="295">
        <f>TRUNC(N54*$J54,2)</f>
        <v>0</v>
      </c>
      <c r="P54" s="302">
        <f>Q54/$H54*100</f>
        <v>0</v>
      </c>
      <c r="Q54" s="295"/>
      <c r="R54" s="295">
        <f>TRUNC(Q54*$J54,2)</f>
        <v>0</v>
      </c>
      <c r="S54" s="302">
        <f>T54/$H54*100</f>
        <v>0</v>
      </c>
      <c r="T54" s="295"/>
      <c r="U54" s="295">
        <f>TRUNC(T54*$J54,2)</f>
        <v>0</v>
      </c>
      <c r="V54" s="302">
        <f>W54/$H54*100</f>
        <v>0</v>
      </c>
      <c r="W54" s="295"/>
      <c r="X54" s="295">
        <f>TRUNC(W54*$J54,2)</f>
        <v>0</v>
      </c>
      <c r="Y54" s="302">
        <f>Z54/$H54*100</f>
        <v>0</v>
      </c>
      <c r="Z54" s="295"/>
      <c r="AA54" s="295">
        <f>TRUNC(Z54*$J54,2)</f>
        <v>0</v>
      </c>
      <c r="AB54" s="302">
        <f>AC54/$H54*100</f>
        <v>0</v>
      </c>
      <c r="AC54" s="295"/>
      <c r="AD54" s="295">
        <f>TRUNC(AC54*$J54,2)</f>
        <v>0</v>
      </c>
      <c r="AE54" s="302">
        <f>AF54/$H54*100</f>
        <v>0</v>
      </c>
      <c r="AF54" s="295"/>
      <c r="AG54" s="295">
        <f>TRUNC(AF54*$J54,2)</f>
        <v>0</v>
      </c>
      <c r="AH54" s="302">
        <f>AI54/$H54*100</f>
        <v>0</v>
      </c>
      <c r="AI54" s="295"/>
      <c r="AJ54" s="295">
        <f>TRUNC(AI54*$J54,2)</f>
        <v>0</v>
      </c>
      <c r="AK54" s="302">
        <f>AL54/$H54*100</f>
        <v>0</v>
      </c>
      <c r="AL54" s="295"/>
      <c r="AM54" s="295">
        <f>TRUNC(AL54*$J54,2)</f>
        <v>0</v>
      </c>
      <c r="AN54" s="302">
        <f>AO54/$H54*100</f>
        <v>0</v>
      </c>
      <c r="AO54" s="295"/>
      <c r="AP54" s="295">
        <f>TRUNC(AO54*$J54,2)</f>
        <v>0</v>
      </c>
      <c r="AQ54" s="302">
        <f>AR54/$H54*100</f>
        <v>0</v>
      </c>
      <c r="AR54" s="295"/>
      <c r="AS54" s="295">
        <f>TRUNC(AR54*$J54,2)</f>
        <v>0</v>
      </c>
      <c r="AT54" s="302">
        <f>AU54/$H54*100</f>
        <v>0</v>
      </c>
      <c r="AU54" s="295"/>
      <c r="AV54" s="303">
        <f>TRUNC(AU54*$J54,2)</f>
        <v>0</v>
      </c>
      <c r="AW54" s="302">
        <f>AX54/$H54*100</f>
        <v>0</v>
      </c>
      <c r="AX54" s="295">
        <f>Q54+N54+T54+W54+Z54+AC54+AF54+AI54+AL54+AO54+AR54+AU54</f>
        <v>0</v>
      </c>
      <c r="AY54" s="304">
        <f>TRUNC(AX54*$J54,2)</f>
        <v>0</v>
      </c>
      <c r="AZ54" s="302">
        <f>BA54/$H54*100</f>
        <v>100</v>
      </c>
      <c r="BA54" s="295">
        <f>H54-AX54</f>
        <v>4</v>
      </c>
      <c r="BB54" s="304">
        <f>TRUNC(BA54*$J54,2)</f>
        <v>2227.4</v>
      </c>
    </row>
    <row r="55" spans="1:54" s="62" customFormat="1" ht="28.5" x14ac:dyDescent="0.2">
      <c r="A55" s="39" t="s">
        <v>271</v>
      </c>
      <c r="B55" s="37" t="s">
        <v>104</v>
      </c>
      <c r="C55" s="37" t="s">
        <v>104</v>
      </c>
      <c r="D55" s="97" t="s">
        <v>311</v>
      </c>
      <c r="E55" s="28" t="s">
        <v>110</v>
      </c>
      <c r="F55" s="341">
        <f>121.15*1.25</f>
        <v>151.4375</v>
      </c>
      <c r="G55" s="49">
        <f>'Quant Ampl 02 Salas'!F57</f>
        <v>8</v>
      </c>
      <c r="H55" s="49">
        <f>G55</f>
        <v>8</v>
      </c>
      <c r="I55" s="37">
        <f>H55-G55</f>
        <v>0</v>
      </c>
      <c r="J55" s="37">
        <f>ROUND((F55*(1+$K$8))*(1+$G$8),2)</f>
        <v>190.52</v>
      </c>
      <c r="K55" s="38">
        <f>TRUNC(J55*G55,2)</f>
        <v>1524.16</v>
      </c>
      <c r="L55" s="206">
        <f t="shared" si="0"/>
        <v>0</v>
      </c>
      <c r="M55" s="301">
        <f>N55/$H55*100</f>
        <v>0</v>
      </c>
      <c r="N55" s="295"/>
      <c r="O55" s="295">
        <f>TRUNC(N55*$J55,2)</f>
        <v>0</v>
      </c>
      <c r="P55" s="302">
        <f>Q55/$H55*100</f>
        <v>0</v>
      </c>
      <c r="Q55" s="295"/>
      <c r="R55" s="295">
        <f>TRUNC(Q55*$J55,2)</f>
        <v>0</v>
      </c>
      <c r="S55" s="302">
        <f>T55/$H55*100</f>
        <v>0</v>
      </c>
      <c r="T55" s="295"/>
      <c r="U55" s="295">
        <f>TRUNC(T55*$J55,2)</f>
        <v>0</v>
      </c>
      <c r="V55" s="302">
        <f>W55/$H55*100</f>
        <v>0</v>
      </c>
      <c r="W55" s="295"/>
      <c r="X55" s="295">
        <f>TRUNC(W55*$J55,2)</f>
        <v>0</v>
      </c>
      <c r="Y55" s="302">
        <f>Z55/$H55*100</f>
        <v>0</v>
      </c>
      <c r="Z55" s="295"/>
      <c r="AA55" s="295">
        <f>TRUNC(Z55*$J55,2)</f>
        <v>0</v>
      </c>
      <c r="AB55" s="302">
        <f>AC55/$H55*100</f>
        <v>0</v>
      </c>
      <c r="AC55" s="295"/>
      <c r="AD55" s="295">
        <f>TRUNC(AC55*$J55,2)</f>
        <v>0</v>
      </c>
      <c r="AE55" s="302">
        <f>AF55/$H55*100</f>
        <v>0</v>
      </c>
      <c r="AF55" s="295"/>
      <c r="AG55" s="295">
        <f>TRUNC(AF55*$J55,2)</f>
        <v>0</v>
      </c>
      <c r="AH55" s="302">
        <f>AI55/$H55*100</f>
        <v>0</v>
      </c>
      <c r="AI55" s="295"/>
      <c r="AJ55" s="295">
        <f>TRUNC(AI55*$J55,2)</f>
        <v>0</v>
      </c>
      <c r="AK55" s="302">
        <f>AL55/$H55*100</f>
        <v>0</v>
      </c>
      <c r="AL55" s="295"/>
      <c r="AM55" s="295">
        <f>TRUNC(AL55*$J55,2)</f>
        <v>0</v>
      </c>
      <c r="AN55" s="302">
        <f>AO55/$H55*100</f>
        <v>0</v>
      </c>
      <c r="AO55" s="295"/>
      <c r="AP55" s="295">
        <f>TRUNC(AO55*$J55,2)</f>
        <v>0</v>
      </c>
      <c r="AQ55" s="302">
        <f>AR55/$H55*100</f>
        <v>0</v>
      </c>
      <c r="AR55" s="295"/>
      <c r="AS55" s="295">
        <f>TRUNC(AR55*$J55,2)</f>
        <v>0</v>
      </c>
      <c r="AT55" s="302">
        <f>AU55/$H55*100</f>
        <v>0</v>
      </c>
      <c r="AU55" s="295"/>
      <c r="AV55" s="303">
        <f>TRUNC(AU55*$J55,2)</f>
        <v>0</v>
      </c>
      <c r="AW55" s="302">
        <f>AX55/$H55*100</f>
        <v>0</v>
      </c>
      <c r="AX55" s="295">
        <f>Q55+N55+T55+W55+Z55+AC55+AF55+AI55+AL55+AO55+AR55+AU55</f>
        <v>0</v>
      </c>
      <c r="AY55" s="304">
        <f>TRUNC(AX55*$J55,2)</f>
        <v>0</v>
      </c>
      <c r="AZ55" s="302">
        <f>BA55/$H55*100</f>
        <v>100</v>
      </c>
      <c r="BA55" s="295">
        <f>H55-AX55</f>
        <v>8</v>
      </c>
      <c r="BB55" s="304">
        <f>TRUNC(BA55*$J55,2)</f>
        <v>1524.16</v>
      </c>
    </row>
    <row r="56" spans="1:54" ht="15" customHeight="1" x14ac:dyDescent="0.2">
      <c r="A56" s="34"/>
      <c r="B56" s="45"/>
      <c r="C56" s="45"/>
      <c r="D56" s="51"/>
      <c r="E56" s="42"/>
      <c r="F56" s="242"/>
      <c r="G56" s="37"/>
      <c r="H56" s="642" t="s">
        <v>125</v>
      </c>
      <c r="I56" s="642"/>
      <c r="J56" s="642"/>
      <c r="K56" s="43">
        <f>SUM(K53:K55)</f>
        <v>5118.78</v>
      </c>
      <c r="L56" s="43">
        <f>SUM(L53:L55)</f>
        <v>0</v>
      </c>
      <c r="M56" s="648" t="s">
        <v>125</v>
      </c>
      <c r="N56" s="642"/>
      <c r="O56" s="172">
        <f>SUM(O53:O55)</f>
        <v>0</v>
      </c>
      <c r="P56" s="641" t="s">
        <v>125</v>
      </c>
      <c r="Q56" s="642"/>
      <c r="R56" s="172">
        <f>SUM(R53:R55)</f>
        <v>0</v>
      </c>
      <c r="S56" s="641" t="s">
        <v>125</v>
      </c>
      <c r="T56" s="642"/>
      <c r="U56" s="172">
        <f>SUM(U53:U55)</f>
        <v>0</v>
      </c>
      <c r="V56" s="641" t="s">
        <v>125</v>
      </c>
      <c r="W56" s="642"/>
      <c r="X56" s="172">
        <f>SUM(X53:X55)</f>
        <v>0</v>
      </c>
      <c r="Y56" s="641" t="s">
        <v>125</v>
      </c>
      <c r="Z56" s="642"/>
      <c r="AA56" s="172">
        <f>SUM(AA53:AA55)</f>
        <v>0</v>
      </c>
      <c r="AB56" s="641" t="s">
        <v>125</v>
      </c>
      <c r="AC56" s="642"/>
      <c r="AD56" s="172">
        <f>SUM(AD53:AD55)</f>
        <v>0</v>
      </c>
      <c r="AE56" s="641" t="s">
        <v>125</v>
      </c>
      <c r="AF56" s="642"/>
      <c r="AG56" s="172">
        <f>SUM(AG53:AG55)</f>
        <v>0</v>
      </c>
      <c r="AH56" s="641" t="s">
        <v>125</v>
      </c>
      <c r="AI56" s="642"/>
      <c r="AJ56" s="172">
        <f>SUM(AJ53:AJ55)</f>
        <v>0</v>
      </c>
      <c r="AK56" s="641" t="s">
        <v>125</v>
      </c>
      <c r="AL56" s="642"/>
      <c r="AM56" s="172">
        <f>SUM(AM53:AM55)</f>
        <v>0</v>
      </c>
      <c r="AN56" s="641" t="s">
        <v>125</v>
      </c>
      <c r="AO56" s="642"/>
      <c r="AP56" s="172">
        <f>SUM(AP53:AP55)</f>
        <v>0</v>
      </c>
      <c r="AQ56" s="641" t="s">
        <v>125</v>
      </c>
      <c r="AR56" s="642"/>
      <c r="AS56" s="172">
        <f>SUM(AS53:AS55)</f>
        <v>0</v>
      </c>
      <c r="AT56" s="641" t="s">
        <v>125</v>
      </c>
      <c r="AU56" s="642"/>
      <c r="AV56" s="173">
        <f>SUM(AV53:AV55)</f>
        <v>0</v>
      </c>
      <c r="AW56" s="641" t="s">
        <v>125</v>
      </c>
      <c r="AX56" s="642"/>
      <c r="AY56" s="43">
        <f>SUM(AY53:AY55)</f>
        <v>0</v>
      </c>
      <c r="AZ56" s="641" t="s">
        <v>125</v>
      </c>
      <c r="BA56" s="642"/>
      <c r="BB56" s="43">
        <f>SUM(BB53:BB55)</f>
        <v>5118.78</v>
      </c>
    </row>
    <row r="57" spans="1:54" ht="15" x14ac:dyDescent="0.2">
      <c r="A57" s="34" t="s">
        <v>296</v>
      </c>
      <c r="B57" s="47"/>
      <c r="C57" s="47"/>
      <c r="D57" s="48" t="s">
        <v>315</v>
      </c>
      <c r="E57" s="42"/>
      <c r="F57" s="242"/>
      <c r="G57" s="49"/>
      <c r="H57" s="49"/>
      <c r="I57" s="49"/>
      <c r="J57" s="37"/>
      <c r="K57" s="38"/>
      <c r="L57" s="206"/>
      <c r="M57" s="301"/>
      <c r="N57" s="295"/>
      <c r="O57" s="295"/>
      <c r="P57" s="302"/>
      <c r="Q57" s="295"/>
      <c r="R57" s="295"/>
      <c r="S57" s="302"/>
      <c r="T57" s="295"/>
      <c r="U57" s="295"/>
      <c r="V57" s="302"/>
      <c r="W57" s="295"/>
      <c r="X57" s="295"/>
      <c r="Y57" s="302"/>
      <c r="Z57" s="295"/>
      <c r="AA57" s="295"/>
      <c r="AB57" s="302"/>
      <c r="AC57" s="295"/>
      <c r="AD57" s="295"/>
      <c r="AE57" s="302"/>
      <c r="AF57" s="295"/>
      <c r="AG57" s="295"/>
      <c r="AH57" s="302"/>
      <c r="AI57" s="295"/>
      <c r="AJ57" s="295"/>
      <c r="AK57" s="302"/>
      <c r="AL57" s="295"/>
      <c r="AM57" s="295"/>
      <c r="AN57" s="302"/>
      <c r="AO57" s="295"/>
      <c r="AP57" s="295"/>
      <c r="AQ57" s="302"/>
      <c r="AR57" s="295"/>
      <c r="AS57" s="295"/>
      <c r="AT57" s="302"/>
      <c r="AU57" s="295"/>
      <c r="AV57" s="303"/>
      <c r="AW57" s="302"/>
      <c r="AX57" s="295"/>
      <c r="AY57" s="304"/>
      <c r="AZ57" s="302"/>
      <c r="BA57" s="295"/>
      <c r="BB57" s="304"/>
    </row>
    <row r="58" spans="1:54" ht="28.5" x14ac:dyDescent="0.2">
      <c r="A58" s="39" t="s">
        <v>298</v>
      </c>
      <c r="B58" s="338" t="s">
        <v>317</v>
      </c>
      <c r="C58" s="28" t="s">
        <v>318</v>
      </c>
      <c r="D58" s="50" t="s">
        <v>319</v>
      </c>
      <c r="E58" s="28" t="s">
        <v>98</v>
      </c>
      <c r="F58" s="329">
        <v>3.05</v>
      </c>
      <c r="G58" s="37">
        <f>'Quant Ampl 02 Salas'!F62</f>
        <v>338.99</v>
      </c>
      <c r="H58" s="37">
        <f>G58</f>
        <v>338.99</v>
      </c>
      <c r="I58" s="37">
        <f>H58-G58</f>
        <v>0</v>
      </c>
      <c r="J58" s="37">
        <f>ROUND((F58*(1+$K$8))*(1+$G$8),2)</f>
        <v>3.84</v>
      </c>
      <c r="K58" s="38">
        <f>TRUNC(J58*G58,2)</f>
        <v>1301.72</v>
      </c>
      <c r="L58" s="206">
        <f t="shared" si="0"/>
        <v>0</v>
      </c>
      <c r="M58" s="301">
        <f>N58/$H58*100</f>
        <v>0</v>
      </c>
      <c r="N58" s="295"/>
      <c r="O58" s="295">
        <f>TRUNC(N58*$J58,2)</f>
        <v>0</v>
      </c>
      <c r="P58" s="302">
        <f>Q58/$H58*100</f>
        <v>0</v>
      </c>
      <c r="Q58" s="295"/>
      <c r="R58" s="295">
        <f>TRUNC(Q58*$J58,2)</f>
        <v>0</v>
      </c>
      <c r="S58" s="302">
        <f>T58/$H58*100</f>
        <v>0</v>
      </c>
      <c r="T58" s="295"/>
      <c r="U58" s="295">
        <f>TRUNC(T58*$J58,2)</f>
        <v>0</v>
      </c>
      <c r="V58" s="302">
        <f>W58/$H58*100</f>
        <v>0</v>
      </c>
      <c r="W58" s="295"/>
      <c r="X58" s="295">
        <f>TRUNC(W58*$J58,2)</f>
        <v>0</v>
      </c>
      <c r="Y58" s="302">
        <f>Z58/$H58*100</f>
        <v>0</v>
      </c>
      <c r="Z58" s="295"/>
      <c r="AA58" s="295">
        <f>TRUNC(Z58*$J58,2)</f>
        <v>0</v>
      </c>
      <c r="AB58" s="302">
        <f>AC58/$H58*100</f>
        <v>0</v>
      </c>
      <c r="AC58" s="295"/>
      <c r="AD58" s="295">
        <f>TRUNC(AC58*$J58,2)</f>
        <v>0</v>
      </c>
      <c r="AE58" s="302">
        <f>AF58/$H58*100</f>
        <v>0</v>
      </c>
      <c r="AF58" s="295"/>
      <c r="AG58" s="295">
        <f>TRUNC(AF58*$J58,2)</f>
        <v>0</v>
      </c>
      <c r="AH58" s="302">
        <f>AI58/$H58*100</f>
        <v>0</v>
      </c>
      <c r="AI58" s="295"/>
      <c r="AJ58" s="295">
        <f>TRUNC(AI58*$J58,2)</f>
        <v>0</v>
      </c>
      <c r="AK58" s="302">
        <f>AL58/$H58*100</f>
        <v>0</v>
      </c>
      <c r="AL58" s="295"/>
      <c r="AM58" s="295">
        <f>TRUNC(AL58*$J58,2)</f>
        <v>0</v>
      </c>
      <c r="AN58" s="302">
        <f>AO58/$H58*100</f>
        <v>0</v>
      </c>
      <c r="AO58" s="295"/>
      <c r="AP58" s="295">
        <f>TRUNC(AO58*$J58,2)</f>
        <v>0</v>
      </c>
      <c r="AQ58" s="302">
        <f>AR58/$H58*100</f>
        <v>0</v>
      </c>
      <c r="AR58" s="295"/>
      <c r="AS58" s="295">
        <f>TRUNC(AR58*$J58,2)</f>
        <v>0</v>
      </c>
      <c r="AT58" s="302">
        <f>AU58/$H58*100</f>
        <v>0</v>
      </c>
      <c r="AU58" s="295"/>
      <c r="AV58" s="303">
        <f>TRUNC(AU58*$J58,2)</f>
        <v>0</v>
      </c>
      <c r="AW58" s="302">
        <f>AX58/$H58*100</f>
        <v>0</v>
      </c>
      <c r="AX58" s="295">
        <f>Q58+N58+T58+W58+Z58+AC58+AF58+AI58+AL58+AO58+AR58+AU58</f>
        <v>0</v>
      </c>
      <c r="AY58" s="304">
        <f>TRUNC(AX58*$J58,2)</f>
        <v>0</v>
      </c>
      <c r="AZ58" s="302">
        <f>BA58/$H58*100</f>
        <v>100</v>
      </c>
      <c r="BA58" s="295">
        <f>H58-AX58</f>
        <v>338.99</v>
      </c>
      <c r="BB58" s="304">
        <f>TRUNC(BA58*$J58,2)</f>
        <v>1301.72</v>
      </c>
    </row>
    <row r="59" spans="1:54" ht="28.5" x14ac:dyDescent="0.2">
      <c r="A59" s="39" t="s">
        <v>300</v>
      </c>
      <c r="B59" s="338" t="s">
        <v>321</v>
      </c>
      <c r="C59" s="28" t="s">
        <v>322</v>
      </c>
      <c r="D59" s="50" t="s">
        <v>323</v>
      </c>
      <c r="E59" s="28" t="s">
        <v>98</v>
      </c>
      <c r="F59" s="329">
        <v>12.69</v>
      </c>
      <c r="G59" s="37">
        <f>'Quant Ampl 02 Salas'!F63</f>
        <v>338.99</v>
      </c>
      <c r="H59" s="37">
        <f>G59</f>
        <v>338.99</v>
      </c>
      <c r="I59" s="37">
        <f>H59-G59</f>
        <v>0</v>
      </c>
      <c r="J59" s="37">
        <f>ROUND((F59*(1+$K$8))*(1+$G$8),2)</f>
        <v>15.97</v>
      </c>
      <c r="K59" s="38">
        <f>TRUNC(J59*G59,2)</f>
        <v>5413.67</v>
      </c>
      <c r="L59" s="206">
        <f t="shared" si="0"/>
        <v>0</v>
      </c>
      <c r="M59" s="301">
        <f>N59/$H59*100</f>
        <v>0</v>
      </c>
      <c r="N59" s="295"/>
      <c r="O59" s="295">
        <f>TRUNC(N59*$J59,2)</f>
        <v>0</v>
      </c>
      <c r="P59" s="302">
        <f>Q59/$H59*100</f>
        <v>0</v>
      </c>
      <c r="Q59" s="295"/>
      <c r="R59" s="295">
        <f>TRUNC(Q59*$J59,2)</f>
        <v>0</v>
      </c>
      <c r="S59" s="302">
        <f>T59/$H59*100</f>
        <v>0</v>
      </c>
      <c r="T59" s="295"/>
      <c r="U59" s="295">
        <f>TRUNC(T59*$J59,2)</f>
        <v>0</v>
      </c>
      <c r="V59" s="302">
        <f>W59/$H59*100</f>
        <v>0</v>
      </c>
      <c r="W59" s="295"/>
      <c r="X59" s="295">
        <f>TRUNC(W59*$J59,2)</f>
        <v>0</v>
      </c>
      <c r="Y59" s="302">
        <f>Z59/$H59*100</f>
        <v>0</v>
      </c>
      <c r="Z59" s="295"/>
      <c r="AA59" s="295">
        <f>TRUNC(Z59*$J59,2)</f>
        <v>0</v>
      </c>
      <c r="AB59" s="302">
        <f>AC59/$H59*100</f>
        <v>0</v>
      </c>
      <c r="AC59" s="295"/>
      <c r="AD59" s="295">
        <f>TRUNC(AC59*$J59,2)</f>
        <v>0</v>
      </c>
      <c r="AE59" s="302">
        <f>AF59/$H59*100</f>
        <v>0</v>
      </c>
      <c r="AF59" s="295"/>
      <c r="AG59" s="295">
        <f>TRUNC(AF59*$J59,2)</f>
        <v>0</v>
      </c>
      <c r="AH59" s="302">
        <f>AI59/$H59*100</f>
        <v>0</v>
      </c>
      <c r="AI59" s="295"/>
      <c r="AJ59" s="295">
        <f>TRUNC(AI59*$J59,2)</f>
        <v>0</v>
      </c>
      <c r="AK59" s="302">
        <f>AL59/$H59*100</f>
        <v>0</v>
      </c>
      <c r="AL59" s="295"/>
      <c r="AM59" s="295">
        <f>TRUNC(AL59*$J59,2)</f>
        <v>0</v>
      </c>
      <c r="AN59" s="302">
        <f>AO59/$H59*100</f>
        <v>0</v>
      </c>
      <c r="AO59" s="295"/>
      <c r="AP59" s="295">
        <f>TRUNC(AO59*$J59,2)</f>
        <v>0</v>
      </c>
      <c r="AQ59" s="302">
        <f>AR59/$H59*100</f>
        <v>0</v>
      </c>
      <c r="AR59" s="295"/>
      <c r="AS59" s="295">
        <f>TRUNC(AR59*$J59,2)</f>
        <v>0</v>
      </c>
      <c r="AT59" s="302">
        <f>AU59/$H59*100</f>
        <v>0</v>
      </c>
      <c r="AU59" s="295"/>
      <c r="AV59" s="303">
        <f>TRUNC(AU59*$J59,2)</f>
        <v>0</v>
      </c>
      <c r="AW59" s="302">
        <f>AX59/$H59*100</f>
        <v>0</v>
      </c>
      <c r="AX59" s="295">
        <f>Q59+N59+T59+W59+Z59+AC59+AF59+AI59+AL59+AO59+AR59+AU59</f>
        <v>0</v>
      </c>
      <c r="AY59" s="304">
        <f>TRUNC(AX59*$J59,2)</f>
        <v>0</v>
      </c>
      <c r="AZ59" s="302">
        <f>BA59/$H59*100</f>
        <v>100</v>
      </c>
      <c r="BA59" s="295">
        <f>H59-AX59</f>
        <v>338.99</v>
      </c>
      <c r="BB59" s="304">
        <f>TRUNC(BA59*$J59,2)</f>
        <v>5413.67</v>
      </c>
    </row>
    <row r="60" spans="1:54" ht="15" customHeight="1" x14ac:dyDescent="0.2">
      <c r="A60" s="34"/>
      <c r="B60" s="45"/>
      <c r="C60" s="45"/>
      <c r="D60" s="41"/>
      <c r="E60" s="42"/>
      <c r="F60" s="242"/>
      <c r="G60" s="37"/>
      <c r="H60" s="642" t="s">
        <v>125</v>
      </c>
      <c r="I60" s="642"/>
      <c r="J60" s="642"/>
      <c r="K60" s="43">
        <f>SUM(K58:K59)</f>
        <v>6715.39</v>
      </c>
      <c r="L60" s="43">
        <f>SUM(L58:L59)</f>
        <v>0</v>
      </c>
      <c r="M60" s="648" t="s">
        <v>125</v>
      </c>
      <c r="N60" s="642"/>
      <c r="O60" s="172">
        <f>SUM(O58:O59)</f>
        <v>0</v>
      </c>
      <c r="P60" s="641" t="s">
        <v>125</v>
      </c>
      <c r="Q60" s="642"/>
      <c r="R60" s="172">
        <f>SUM(R58:R59)</f>
        <v>0</v>
      </c>
      <c r="S60" s="641" t="s">
        <v>125</v>
      </c>
      <c r="T60" s="642"/>
      <c r="U60" s="172">
        <f>SUM(U58:U59)</f>
        <v>0</v>
      </c>
      <c r="V60" s="641" t="s">
        <v>125</v>
      </c>
      <c r="W60" s="642"/>
      <c r="X60" s="172">
        <f>SUM(X58:X59)</f>
        <v>0</v>
      </c>
      <c r="Y60" s="641" t="s">
        <v>125</v>
      </c>
      <c r="Z60" s="642"/>
      <c r="AA60" s="172">
        <f>SUM(AA58:AA59)</f>
        <v>0</v>
      </c>
      <c r="AB60" s="641" t="s">
        <v>125</v>
      </c>
      <c r="AC60" s="642"/>
      <c r="AD60" s="172">
        <f>SUM(AD58:AD59)</f>
        <v>0</v>
      </c>
      <c r="AE60" s="641" t="s">
        <v>125</v>
      </c>
      <c r="AF60" s="642"/>
      <c r="AG60" s="172">
        <f>SUM(AG58:AG59)</f>
        <v>0</v>
      </c>
      <c r="AH60" s="641" t="s">
        <v>125</v>
      </c>
      <c r="AI60" s="642"/>
      <c r="AJ60" s="172">
        <f>SUM(AJ58:AJ59)</f>
        <v>0</v>
      </c>
      <c r="AK60" s="641" t="s">
        <v>125</v>
      </c>
      <c r="AL60" s="642"/>
      <c r="AM60" s="172">
        <f>SUM(AM58:AM59)</f>
        <v>0</v>
      </c>
      <c r="AN60" s="641" t="s">
        <v>125</v>
      </c>
      <c r="AO60" s="642"/>
      <c r="AP60" s="172">
        <f>SUM(AP58:AP59)</f>
        <v>0</v>
      </c>
      <c r="AQ60" s="641" t="s">
        <v>125</v>
      </c>
      <c r="AR60" s="642"/>
      <c r="AS60" s="172">
        <f>SUM(AS58:AS59)</f>
        <v>0</v>
      </c>
      <c r="AT60" s="641" t="s">
        <v>125</v>
      </c>
      <c r="AU60" s="642"/>
      <c r="AV60" s="173">
        <f>SUM(AV58:AV59)</f>
        <v>0</v>
      </c>
      <c r="AW60" s="641" t="s">
        <v>125</v>
      </c>
      <c r="AX60" s="642"/>
      <c r="AY60" s="43">
        <f>SUM(AY58:AY59)</f>
        <v>0</v>
      </c>
      <c r="AZ60" s="641" t="s">
        <v>125</v>
      </c>
      <c r="BA60" s="642"/>
      <c r="BB60" s="43">
        <f>SUM(BB58:BB59)</f>
        <v>6715.39</v>
      </c>
    </row>
    <row r="61" spans="1:54" ht="15" x14ac:dyDescent="0.2">
      <c r="A61" s="34" t="s">
        <v>314</v>
      </c>
      <c r="B61" s="47"/>
      <c r="C61" s="47"/>
      <c r="D61" s="27" t="s">
        <v>341</v>
      </c>
      <c r="E61" s="42"/>
      <c r="F61" s="242"/>
      <c r="G61" s="49"/>
      <c r="H61" s="49"/>
      <c r="I61" s="49"/>
      <c r="J61" s="37"/>
      <c r="K61" s="38"/>
      <c r="L61" s="206"/>
      <c r="M61" s="301"/>
      <c r="N61" s="295"/>
      <c r="O61" s="295"/>
      <c r="P61" s="302"/>
      <c r="Q61" s="295"/>
      <c r="R61" s="295"/>
      <c r="S61" s="302"/>
      <c r="T61" s="295"/>
      <c r="U61" s="295"/>
      <c r="V61" s="302"/>
      <c r="W61" s="295"/>
      <c r="X61" s="295"/>
      <c r="Y61" s="302"/>
      <c r="Z61" s="295"/>
      <c r="AA61" s="295"/>
      <c r="AB61" s="302"/>
      <c r="AC61" s="295"/>
      <c r="AD61" s="295"/>
      <c r="AE61" s="302"/>
      <c r="AF61" s="295"/>
      <c r="AG61" s="295"/>
      <c r="AH61" s="302"/>
      <c r="AI61" s="295"/>
      <c r="AJ61" s="295"/>
      <c r="AK61" s="302"/>
      <c r="AL61" s="295"/>
      <c r="AM61" s="295"/>
      <c r="AN61" s="302"/>
      <c r="AO61" s="295"/>
      <c r="AP61" s="295"/>
      <c r="AQ61" s="302"/>
      <c r="AR61" s="295"/>
      <c r="AS61" s="295"/>
      <c r="AT61" s="302"/>
      <c r="AU61" s="295"/>
      <c r="AV61" s="303"/>
      <c r="AW61" s="302"/>
      <c r="AX61" s="295"/>
      <c r="AY61" s="304"/>
      <c r="AZ61" s="302"/>
      <c r="BA61" s="295"/>
      <c r="BB61" s="304"/>
    </row>
    <row r="62" spans="1:54" ht="28.5" x14ac:dyDescent="0.2">
      <c r="A62" s="39" t="s">
        <v>316</v>
      </c>
      <c r="B62" s="37" t="s">
        <v>104</v>
      </c>
      <c r="C62" s="37" t="s">
        <v>104</v>
      </c>
      <c r="D62" s="33" t="s">
        <v>699</v>
      </c>
      <c r="E62" s="28" t="s">
        <v>98</v>
      </c>
      <c r="F62" s="341">
        <f>3.29*1.25</f>
        <v>4.1124999999999998</v>
      </c>
      <c r="G62" s="49">
        <f>'Quant Ampl 02 Salas'!F67</f>
        <v>128.6</v>
      </c>
      <c r="H62" s="49">
        <f t="shared" ref="H62:H67" si="69">G62</f>
        <v>128.6</v>
      </c>
      <c r="I62" s="37">
        <f t="shared" ref="I62:I67" si="70">H62-G62</f>
        <v>0</v>
      </c>
      <c r="J62" s="37">
        <f t="shared" ref="J62:J67" si="71">ROUND((F62*(1+$K$8))*(1+$G$8),2)</f>
        <v>5.17</v>
      </c>
      <c r="K62" s="38">
        <f t="shared" ref="K62:K67" si="72">TRUNC(J62*G62,2)</f>
        <v>664.86</v>
      </c>
      <c r="L62" s="206">
        <f t="shared" si="0"/>
        <v>0</v>
      </c>
      <c r="M62" s="301">
        <f t="shared" ref="M62:M67" si="73">N62/$H62*100</f>
        <v>0</v>
      </c>
      <c r="N62" s="295"/>
      <c r="O62" s="295">
        <f t="shared" ref="O62:O67" si="74">TRUNC(N62*$J62,2)</f>
        <v>0</v>
      </c>
      <c r="P62" s="302">
        <f t="shared" ref="P62:P67" si="75">Q62/$H62*100</f>
        <v>0</v>
      </c>
      <c r="Q62" s="295"/>
      <c r="R62" s="295">
        <f t="shared" ref="R62:R67" si="76">TRUNC(Q62*$J62,2)</f>
        <v>0</v>
      </c>
      <c r="S62" s="302">
        <f t="shared" ref="S62:S67" si="77">T62/$H62*100</f>
        <v>0</v>
      </c>
      <c r="T62" s="295"/>
      <c r="U62" s="295">
        <f t="shared" ref="U62:U67" si="78">TRUNC(T62*$J62,2)</f>
        <v>0</v>
      </c>
      <c r="V62" s="302">
        <f t="shared" ref="V62:V67" si="79">W62/$H62*100</f>
        <v>0</v>
      </c>
      <c r="W62" s="295"/>
      <c r="X62" s="295">
        <f t="shared" ref="X62:X67" si="80">TRUNC(W62*$J62,2)</f>
        <v>0</v>
      </c>
      <c r="Y62" s="302">
        <f t="shared" ref="Y62:Y67" si="81">Z62/$H62*100</f>
        <v>0</v>
      </c>
      <c r="Z62" s="295"/>
      <c r="AA62" s="295">
        <f t="shared" ref="AA62:AA67" si="82">TRUNC(Z62*$J62,2)</f>
        <v>0</v>
      </c>
      <c r="AB62" s="302">
        <f t="shared" ref="AB62:AB67" si="83">AC62/$H62*100</f>
        <v>0</v>
      </c>
      <c r="AC62" s="295"/>
      <c r="AD62" s="295">
        <f t="shared" ref="AD62:AD67" si="84">TRUNC(AC62*$J62,2)</f>
        <v>0</v>
      </c>
      <c r="AE62" s="302">
        <f t="shared" ref="AE62:AE67" si="85">AF62/$H62*100</f>
        <v>0</v>
      </c>
      <c r="AF62" s="295"/>
      <c r="AG62" s="295">
        <f t="shared" ref="AG62:AG67" si="86">TRUNC(AF62*$J62,2)</f>
        <v>0</v>
      </c>
      <c r="AH62" s="302">
        <f t="shared" ref="AH62:AH67" si="87">AI62/$H62*100</f>
        <v>0</v>
      </c>
      <c r="AI62" s="295"/>
      <c r="AJ62" s="295">
        <f t="shared" ref="AJ62:AJ67" si="88">TRUNC(AI62*$J62,2)</f>
        <v>0</v>
      </c>
      <c r="AK62" s="302">
        <f t="shared" ref="AK62:AK67" si="89">AL62/$H62*100</f>
        <v>0</v>
      </c>
      <c r="AL62" s="295"/>
      <c r="AM62" s="295">
        <f t="shared" ref="AM62:AM67" si="90">TRUNC(AL62*$J62,2)</f>
        <v>0</v>
      </c>
      <c r="AN62" s="302">
        <f t="shared" ref="AN62:AN67" si="91">AO62/$H62*100</f>
        <v>0</v>
      </c>
      <c r="AO62" s="295"/>
      <c r="AP62" s="295">
        <f t="shared" ref="AP62:AP67" si="92">TRUNC(AO62*$J62,2)</f>
        <v>0</v>
      </c>
      <c r="AQ62" s="302">
        <f t="shared" ref="AQ62:AQ67" si="93">AR62/$H62*100</f>
        <v>0</v>
      </c>
      <c r="AR62" s="295"/>
      <c r="AS62" s="295">
        <f t="shared" ref="AS62:AS67" si="94">TRUNC(AR62*$J62,2)</f>
        <v>0</v>
      </c>
      <c r="AT62" s="302">
        <f t="shared" ref="AT62:AT67" si="95">AU62/$H62*100</f>
        <v>0</v>
      </c>
      <c r="AU62" s="295"/>
      <c r="AV62" s="303">
        <f t="shared" ref="AV62:AV67" si="96">TRUNC(AU62*$J62,2)</f>
        <v>0</v>
      </c>
      <c r="AW62" s="302">
        <f t="shared" ref="AW62:AW67" si="97">AX62/$H62*100</f>
        <v>0</v>
      </c>
      <c r="AX62" s="295">
        <f t="shared" ref="AX62:AX67" si="98">Q62+N62+T62+W62+Z62+AC62+AF62+AI62+AL62+AO62+AR62+AU62</f>
        <v>0</v>
      </c>
      <c r="AY62" s="304">
        <f t="shared" ref="AY62:AY67" si="99">TRUNC(AX62*$J62,2)</f>
        <v>0</v>
      </c>
      <c r="AZ62" s="302">
        <f t="shared" ref="AZ62:AZ67" si="100">BA62/$H62*100</f>
        <v>100</v>
      </c>
      <c r="BA62" s="295">
        <f t="shared" ref="BA62:BA67" si="101">H62-AX62</f>
        <v>128.6</v>
      </c>
      <c r="BB62" s="304">
        <f t="shared" ref="BB62:BB67" si="102">TRUNC(BA62*$J62,2)</f>
        <v>664.86</v>
      </c>
    </row>
    <row r="63" spans="1:54" s="62" customFormat="1" ht="15" x14ac:dyDescent="0.2">
      <c r="A63" s="39" t="s">
        <v>320</v>
      </c>
      <c r="B63" s="338" t="s">
        <v>343</v>
      </c>
      <c r="C63" s="28" t="s">
        <v>344</v>
      </c>
      <c r="D63" s="58" t="s">
        <v>345</v>
      </c>
      <c r="E63" s="28" t="s">
        <v>98</v>
      </c>
      <c r="F63" s="339">
        <v>20.32</v>
      </c>
      <c r="G63" s="49">
        <f>'Quant Ampl 02 Salas'!F68</f>
        <v>128.6</v>
      </c>
      <c r="H63" s="49">
        <f t="shared" si="69"/>
        <v>128.6</v>
      </c>
      <c r="I63" s="37">
        <f t="shared" si="70"/>
        <v>0</v>
      </c>
      <c r="J63" s="37">
        <f t="shared" si="71"/>
        <v>25.56</v>
      </c>
      <c r="K63" s="38">
        <f t="shared" si="72"/>
        <v>3287.01</v>
      </c>
      <c r="L63" s="206">
        <f t="shared" si="0"/>
        <v>0</v>
      </c>
      <c r="M63" s="301">
        <f t="shared" si="73"/>
        <v>0</v>
      </c>
      <c r="N63" s="295"/>
      <c r="O63" s="295">
        <f t="shared" si="74"/>
        <v>0</v>
      </c>
      <c r="P63" s="302">
        <f t="shared" si="75"/>
        <v>0</v>
      </c>
      <c r="Q63" s="295"/>
      <c r="R63" s="295">
        <f t="shared" si="76"/>
        <v>0</v>
      </c>
      <c r="S63" s="302">
        <f t="shared" si="77"/>
        <v>0</v>
      </c>
      <c r="T63" s="295"/>
      <c r="U63" s="295">
        <f t="shared" si="78"/>
        <v>0</v>
      </c>
      <c r="V63" s="302">
        <f t="shared" si="79"/>
        <v>0</v>
      </c>
      <c r="W63" s="295"/>
      <c r="X63" s="295">
        <f t="shared" si="80"/>
        <v>0</v>
      </c>
      <c r="Y63" s="302">
        <f t="shared" si="81"/>
        <v>0</v>
      </c>
      <c r="Z63" s="295"/>
      <c r="AA63" s="295">
        <f t="shared" si="82"/>
        <v>0</v>
      </c>
      <c r="AB63" s="302">
        <f t="shared" si="83"/>
        <v>0</v>
      </c>
      <c r="AC63" s="295"/>
      <c r="AD63" s="295">
        <f t="shared" si="84"/>
        <v>0</v>
      </c>
      <c r="AE63" s="302">
        <f t="shared" si="85"/>
        <v>0</v>
      </c>
      <c r="AF63" s="295"/>
      <c r="AG63" s="295">
        <f t="shared" si="86"/>
        <v>0</v>
      </c>
      <c r="AH63" s="302">
        <f t="shared" si="87"/>
        <v>0</v>
      </c>
      <c r="AI63" s="295"/>
      <c r="AJ63" s="295">
        <f t="shared" si="88"/>
        <v>0</v>
      </c>
      <c r="AK63" s="302">
        <f t="shared" si="89"/>
        <v>0</v>
      </c>
      <c r="AL63" s="295"/>
      <c r="AM63" s="295">
        <f t="shared" si="90"/>
        <v>0</v>
      </c>
      <c r="AN63" s="302">
        <f t="shared" si="91"/>
        <v>0</v>
      </c>
      <c r="AO63" s="295"/>
      <c r="AP63" s="295">
        <f t="shared" si="92"/>
        <v>0</v>
      </c>
      <c r="AQ63" s="302">
        <f t="shared" si="93"/>
        <v>0</v>
      </c>
      <c r="AR63" s="295"/>
      <c r="AS63" s="295">
        <f t="shared" si="94"/>
        <v>0</v>
      </c>
      <c r="AT63" s="302">
        <f t="shared" si="95"/>
        <v>0</v>
      </c>
      <c r="AU63" s="295"/>
      <c r="AV63" s="303">
        <f t="shared" si="96"/>
        <v>0</v>
      </c>
      <c r="AW63" s="302">
        <f t="shared" si="97"/>
        <v>0</v>
      </c>
      <c r="AX63" s="295">
        <f t="shared" si="98"/>
        <v>0</v>
      </c>
      <c r="AY63" s="304">
        <f t="shared" si="99"/>
        <v>0</v>
      </c>
      <c r="AZ63" s="302">
        <f t="shared" si="100"/>
        <v>100</v>
      </c>
      <c r="BA63" s="295">
        <f t="shared" si="101"/>
        <v>128.6</v>
      </c>
      <c r="BB63" s="304">
        <f t="shared" si="102"/>
        <v>3287.01</v>
      </c>
    </row>
    <row r="64" spans="1:54" s="62" customFormat="1" ht="42.75" customHeight="1" x14ac:dyDescent="0.2">
      <c r="A64" s="39" t="s">
        <v>324</v>
      </c>
      <c r="B64" s="338" t="s">
        <v>355</v>
      </c>
      <c r="C64" s="28" t="s">
        <v>356</v>
      </c>
      <c r="D64" s="50" t="s">
        <v>357</v>
      </c>
      <c r="E64" s="28" t="s">
        <v>98</v>
      </c>
      <c r="F64" s="329">
        <v>15.46</v>
      </c>
      <c r="G64" s="49">
        <f>'Quant Ampl 02 Salas'!F69</f>
        <v>128.6</v>
      </c>
      <c r="H64" s="49">
        <f t="shared" si="69"/>
        <v>128.6</v>
      </c>
      <c r="I64" s="37">
        <f t="shared" si="70"/>
        <v>0</v>
      </c>
      <c r="J64" s="37">
        <f t="shared" si="71"/>
        <v>19.45</v>
      </c>
      <c r="K64" s="38">
        <f t="shared" si="72"/>
        <v>2501.27</v>
      </c>
      <c r="L64" s="206">
        <f t="shared" si="0"/>
        <v>0</v>
      </c>
      <c r="M64" s="301">
        <f t="shared" si="73"/>
        <v>0</v>
      </c>
      <c r="N64" s="295"/>
      <c r="O64" s="295">
        <f t="shared" si="74"/>
        <v>0</v>
      </c>
      <c r="P64" s="302">
        <f t="shared" si="75"/>
        <v>0</v>
      </c>
      <c r="Q64" s="295"/>
      <c r="R64" s="295">
        <f t="shared" si="76"/>
        <v>0</v>
      </c>
      <c r="S64" s="302">
        <f t="shared" si="77"/>
        <v>0</v>
      </c>
      <c r="T64" s="295"/>
      <c r="U64" s="295">
        <f t="shared" si="78"/>
        <v>0</v>
      </c>
      <c r="V64" s="302">
        <f t="shared" si="79"/>
        <v>0</v>
      </c>
      <c r="W64" s="295"/>
      <c r="X64" s="295">
        <f t="shared" si="80"/>
        <v>0</v>
      </c>
      <c r="Y64" s="302">
        <f t="shared" si="81"/>
        <v>0</v>
      </c>
      <c r="Z64" s="295"/>
      <c r="AA64" s="295">
        <f t="shared" si="82"/>
        <v>0</v>
      </c>
      <c r="AB64" s="302">
        <f t="shared" si="83"/>
        <v>0</v>
      </c>
      <c r="AC64" s="295"/>
      <c r="AD64" s="295">
        <f t="shared" si="84"/>
        <v>0</v>
      </c>
      <c r="AE64" s="302">
        <f t="shared" si="85"/>
        <v>0</v>
      </c>
      <c r="AF64" s="295"/>
      <c r="AG64" s="295">
        <f t="shared" si="86"/>
        <v>0</v>
      </c>
      <c r="AH64" s="302">
        <f t="shared" si="87"/>
        <v>0</v>
      </c>
      <c r="AI64" s="295"/>
      <c r="AJ64" s="295">
        <f t="shared" si="88"/>
        <v>0</v>
      </c>
      <c r="AK64" s="302">
        <f t="shared" si="89"/>
        <v>0</v>
      </c>
      <c r="AL64" s="295"/>
      <c r="AM64" s="295">
        <f t="shared" si="90"/>
        <v>0</v>
      </c>
      <c r="AN64" s="302">
        <f t="shared" si="91"/>
        <v>0</v>
      </c>
      <c r="AO64" s="295"/>
      <c r="AP64" s="295">
        <f t="shared" si="92"/>
        <v>0</v>
      </c>
      <c r="AQ64" s="302">
        <f t="shared" si="93"/>
        <v>0</v>
      </c>
      <c r="AR64" s="295"/>
      <c r="AS64" s="295">
        <f t="shared" si="94"/>
        <v>0</v>
      </c>
      <c r="AT64" s="302">
        <f t="shared" si="95"/>
        <v>0</v>
      </c>
      <c r="AU64" s="295"/>
      <c r="AV64" s="303">
        <f t="shared" si="96"/>
        <v>0</v>
      </c>
      <c r="AW64" s="302">
        <f t="shared" si="97"/>
        <v>0</v>
      </c>
      <c r="AX64" s="295">
        <f t="shared" si="98"/>
        <v>0</v>
      </c>
      <c r="AY64" s="304">
        <f t="shared" si="99"/>
        <v>0</v>
      </c>
      <c r="AZ64" s="302">
        <f t="shared" si="100"/>
        <v>100</v>
      </c>
      <c r="BA64" s="295">
        <f t="shared" si="101"/>
        <v>128.6</v>
      </c>
      <c r="BB64" s="304">
        <f t="shared" si="102"/>
        <v>2501.27</v>
      </c>
    </row>
    <row r="65" spans="1:54" s="62" customFormat="1" ht="42.75" customHeight="1" x14ac:dyDescent="0.2">
      <c r="A65" s="39" t="s">
        <v>328</v>
      </c>
      <c r="B65" s="338" t="s">
        <v>359</v>
      </c>
      <c r="C65" s="28" t="s">
        <v>360</v>
      </c>
      <c r="D65" s="33" t="s">
        <v>361</v>
      </c>
      <c r="E65" s="28" t="s">
        <v>98</v>
      </c>
      <c r="F65" s="329">
        <v>44.74</v>
      </c>
      <c r="G65" s="49">
        <f>'Quant Ampl 02 Salas'!F70</f>
        <v>128.6</v>
      </c>
      <c r="H65" s="49">
        <f t="shared" si="69"/>
        <v>128.6</v>
      </c>
      <c r="I65" s="37">
        <f t="shared" si="70"/>
        <v>0</v>
      </c>
      <c r="J65" s="37">
        <f t="shared" si="71"/>
        <v>56.29</v>
      </c>
      <c r="K65" s="38">
        <f t="shared" si="72"/>
        <v>7238.89</v>
      </c>
      <c r="L65" s="206">
        <f>TRUNC(J65*I65,2)</f>
        <v>0</v>
      </c>
      <c r="M65" s="301">
        <f t="shared" si="73"/>
        <v>0</v>
      </c>
      <c r="N65" s="295"/>
      <c r="O65" s="295">
        <f t="shared" si="74"/>
        <v>0</v>
      </c>
      <c r="P65" s="302">
        <f t="shared" si="75"/>
        <v>0</v>
      </c>
      <c r="Q65" s="295"/>
      <c r="R65" s="295">
        <f t="shared" si="76"/>
        <v>0</v>
      </c>
      <c r="S65" s="302">
        <f t="shared" si="77"/>
        <v>0</v>
      </c>
      <c r="T65" s="295"/>
      <c r="U65" s="295">
        <f t="shared" si="78"/>
        <v>0</v>
      </c>
      <c r="V65" s="302">
        <f t="shared" si="79"/>
        <v>0</v>
      </c>
      <c r="W65" s="295"/>
      <c r="X65" s="295">
        <f t="shared" si="80"/>
        <v>0</v>
      </c>
      <c r="Y65" s="302">
        <f t="shared" si="81"/>
        <v>0</v>
      </c>
      <c r="Z65" s="295"/>
      <c r="AA65" s="295">
        <f t="shared" si="82"/>
        <v>0</v>
      </c>
      <c r="AB65" s="302">
        <f t="shared" si="83"/>
        <v>0</v>
      </c>
      <c r="AC65" s="295"/>
      <c r="AD65" s="295">
        <f t="shared" si="84"/>
        <v>0</v>
      </c>
      <c r="AE65" s="302">
        <f t="shared" si="85"/>
        <v>0</v>
      </c>
      <c r="AF65" s="295"/>
      <c r="AG65" s="295">
        <f t="shared" si="86"/>
        <v>0</v>
      </c>
      <c r="AH65" s="302">
        <f t="shared" si="87"/>
        <v>0</v>
      </c>
      <c r="AI65" s="295"/>
      <c r="AJ65" s="295">
        <f t="shared" si="88"/>
        <v>0</v>
      </c>
      <c r="AK65" s="302">
        <f t="shared" si="89"/>
        <v>0</v>
      </c>
      <c r="AL65" s="295"/>
      <c r="AM65" s="295">
        <f t="shared" si="90"/>
        <v>0</v>
      </c>
      <c r="AN65" s="302">
        <f t="shared" si="91"/>
        <v>0</v>
      </c>
      <c r="AO65" s="295"/>
      <c r="AP65" s="295">
        <f t="shared" si="92"/>
        <v>0</v>
      </c>
      <c r="AQ65" s="302">
        <f t="shared" si="93"/>
        <v>0</v>
      </c>
      <c r="AR65" s="295"/>
      <c r="AS65" s="295">
        <f t="shared" si="94"/>
        <v>0</v>
      </c>
      <c r="AT65" s="302">
        <f t="shared" si="95"/>
        <v>0</v>
      </c>
      <c r="AU65" s="295"/>
      <c r="AV65" s="303">
        <f t="shared" si="96"/>
        <v>0</v>
      </c>
      <c r="AW65" s="302">
        <f t="shared" si="97"/>
        <v>0</v>
      </c>
      <c r="AX65" s="295">
        <f t="shared" si="98"/>
        <v>0</v>
      </c>
      <c r="AY65" s="304">
        <f t="shared" si="99"/>
        <v>0</v>
      </c>
      <c r="AZ65" s="302">
        <f t="shared" si="100"/>
        <v>100</v>
      </c>
      <c r="BA65" s="295">
        <f t="shared" si="101"/>
        <v>128.6</v>
      </c>
      <c r="BB65" s="304">
        <f t="shared" si="102"/>
        <v>7238.89</v>
      </c>
    </row>
    <row r="66" spans="1:54" s="62" customFormat="1" ht="42.75" customHeight="1" x14ac:dyDescent="0.2">
      <c r="A66" s="39" t="s">
        <v>332</v>
      </c>
      <c r="B66" s="338" t="s">
        <v>363</v>
      </c>
      <c r="C66" s="28" t="s">
        <v>364</v>
      </c>
      <c r="D66" s="50" t="s">
        <v>365</v>
      </c>
      <c r="E66" s="28" t="s">
        <v>98</v>
      </c>
      <c r="F66" s="329">
        <v>2.0699999999999998</v>
      </c>
      <c r="G66" s="49">
        <f>'Quant Ampl 02 Salas'!F71</f>
        <v>128.6</v>
      </c>
      <c r="H66" s="49">
        <f t="shared" si="69"/>
        <v>128.6</v>
      </c>
      <c r="I66" s="37">
        <f t="shared" si="70"/>
        <v>0</v>
      </c>
      <c r="J66" s="37">
        <f t="shared" si="71"/>
        <v>2.6</v>
      </c>
      <c r="K66" s="38">
        <f t="shared" si="72"/>
        <v>334.36</v>
      </c>
      <c r="L66" s="206">
        <f>TRUNC(J66*I66,2)</f>
        <v>0</v>
      </c>
      <c r="M66" s="301">
        <f t="shared" si="73"/>
        <v>0</v>
      </c>
      <c r="N66" s="295"/>
      <c r="O66" s="295">
        <f t="shared" si="74"/>
        <v>0</v>
      </c>
      <c r="P66" s="302">
        <f t="shared" si="75"/>
        <v>0</v>
      </c>
      <c r="Q66" s="295"/>
      <c r="R66" s="295">
        <f t="shared" si="76"/>
        <v>0</v>
      </c>
      <c r="S66" s="302">
        <f t="shared" si="77"/>
        <v>0</v>
      </c>
      <c r="T66" s="295"/>
      <c r="U66" s="295">
        <f t="shared" si="78"/>
        <v>0</v>
      </c>
      <c r="V66" s="302">
        <f t="shared" si="79"/>
        <v>0</v>
      </c>
      <c r="W66" s="295"/>
      <c r="X66" s="295">
        <f t="shared" si="80"/>
        <v>0</v>
      </c>
      <c r="Y66" s="302">
        <f t="shared" si="81"/>
        <v>0</v>
      </c>
      <c r="Z66" s="295"/>
      <c r="AA66" s="295">
        <f t="shared" si="82"/>
        <v>0</v>
      </c>
      <c r="AB66" s="302">
        <f t="shared" si="83"/>
        <v>0</v>
      </c>
      <c r="AC66" s="295"/>
      <c r="AD66" s="295">
        <f t="shared" si="84"/>
        <v>0</v>
      </c>
      <c r="AE66" s="302">
        <f t="shared" si="85"/>
        <v>0</v>
      </c>
      <c r="AF66" s="295"/>
      <c r="AG66" s="295">
        <f t="shared" si="86"/>
        <v>0</v>
      </c>
      <c r="AH66" s="302">
        <f t="shared" si="87"/>
        <v>0</v>
      </c>
      <c r="AI66" s="295"/>
      <c r="AJ66" s="295">
        <f t="shared" si="88"/>
        <v>0</v>
      </c>
      <c r="AK66" s="302">
        <f t="shared" si="89"/>
        <v>0</v>
      </c>
      <c r="AL66" s="295"/>
      <c r="AM66" s="295">
        <f t="shared" si="90"/>
        <v>0</v>
      </c>
      <c r="AN66" s="302">
        <f t="shared" si="91"/>
        <v>0</v>
      </c>
      <c r="AO66" s="295"/>
      <c r="AP66" s="295">
        <f t="shared" si="92"/>
        <v>0</v>
      </c>
      <c r="AQ66" s="302">
        <f t="shared" si="93"/>
        <v>0</v>
      </c>
      <c r="AR66" s="295"/>
      <c r="AS66" s="295">
        <f t="shared" si="94"/>
        <v>0</v>
      </c>
      <c r="AT66" s="302">
        <f t="shared" si="95"/>
        <v>0</v>
      </c>
      <c r="AU66" s="295"/>
      <c r="AV66" s="303">
        <f t="shared" si="96"/>
        <v>0</v>
      </c>
      <c r="AW66" s="302">
        <f t="shared" si="97"/>
        <v>0</v>
      </c>
      <c r="AX66" s="295">
        <f t="shared" si="98"/>
        <v>0</v>
      </c>
      <c r="AY66" s="304">
        <f t="shared" si="99"/>
        <v>0</v>
      </c>
      <c r="AZ66" s="302">
        <f t="shared" si="100"/>
        <v>100</v>
      </c>
      <c r="BA66" s="295">
        <f t="shared" si="101"/>
        <v>128.6</v>
      </c>
      <c r="BB66" s="304">
        <f t="shared" si="102"/>
        <v>334.36</v>
      </c>
    </row>
    <row r="67" spans="1:54" s="217" customFormat="1" ht="28.5" x14ac:dyDescent="0.2">
      <c r="A67" s="39" t="s">
        <v>336</v>
      </c>
      <c r="B67" s="338" t="s">
        <v>367</v>
      </c>
      <c r="C67" s="28" t="s">
        <v>368</v>
      </c>
      <c r="D67" s="33" t="s">
        <v>369</v>
      </c>
      <c r="E67" s="28" t="s">
        <v>275</v>
      </c>
      <c r="F67" s="329">
        <v>10.79</v>
      </c>
      <c r="G67" s="49">
        <f>'Quant Ampl 02 Salas'!F72</f>
        <v>79.53</v>
      </c>
      <c r="H67" s="49">
        <f t="shared" si="69"/>
        <v>79.53</v>
      </c>
      <c r="I67" s="37">
        <f t="shared" si="70"/>
        <v>0</v>
      </c>
      <c r="J67" s="37">
        <f t="shared" si="71"/>
        <v>13.57</v>
      </c>
      <c r="K67" s="38">
        <f t="shared" si="72"/>
        <v>1079.22</v>
      </c>
      <c r="L67" s="206">
        <f>TRUNC(J67*I67,2)</f>
        <v>0</v>
      </c>
      <c r="M67" s="213">
        <f t="shared" si="73"/>
        <v>0</v>
      </c>
      <c r="N67" s="98"/>
      <c r="O67" s="98">
        <f t="shared" si="74"/>
        <v>0</v>
      </c>
      <c r="P67" s="214">
        <f t="shared" si="75"/>
        <v>0</v>
      </c>
      <c r="Q67" s="98"/>
      <c r="R67" s="98">
        <f t="shared" si="76"/>
        <v>0</v>
      </c>
      <c r="S67" s="214">
        <f t="shared" si="77"/>
        <v>0</v>
      </c>
      <c r="T67" s="98"/>
      <c r="U67" s="98">
        <f t="shared" si="78"/>
        <v>0</v>
      </c>
      <c r="V67" s="214">
        <f t="shared" si="79"/>
        <v>0</v>
      </c>
      <c r="W67" s="98"/>
      <c r="X67" s="98">
        <f t="shared" si="80"/>
        <v>0</v>
      </c>
      <c r="Y67" s="214">
        <f t="shared" si="81"/>
        <v>0</v>
      </c>
      <c r="Z67" s="98"/>
      <c r="AA67" s="98">
        <f t="shared" si="82"/>
        <v>0</v>
      </c>
      <c r="AB67" s="214">
        <f t="shared" si="83"/>
        <v>0</v>
      </c>
      <c r="AC67" s="98"/>
      <c r="AD67" s="98">
        <f t="shared" si="84"/>
        <v>0</v>
      </c>
      <c r="AE67" s="214">
        <f t="shared" si="85"/>
        <v>0</v>
      </c>
      <c r="AF67" s="98"/>
      <c r="AG67" s="98">
        <f t="shared" si="86"/>
        <v>0</v>
      </c>
      <c r="AH67" s="214">
        <f t="shared" si="87"/>
        <v>0</v>
      </c>
      <c r="AI67" s="98"/>
      <c r="AJ67" s="98">
        <f t="shared" si="88"/>
        <v>0</v>
      </c>
      <c r="AK67" s="214">
        <f t="shared" si="89"/>
        <v>0</v>
      </c>
      <c r="AL67" s="98"/>
      <c r="AM67" s="98">
        <f t="shared" si="90"/>
        <v>0</v>
      </c>
      <c r="AN67" s="214">
        <f t="shared" si="91"/>
        <v>0</v>
      </c>
      <c r="AO67" s="98"/>
      <c r="AP67" s="98">
        <f t="shared" si="92"/>
        <v>0</v>
      </c>
      <c r="AQ67" s="214">
        <f t="shared" si="93"/>
        <v>0</v>
      </c>
      <c r="AR67" s="98"/>
      <c r="AS67" s="98">
        <f t="shared" si="94"/>
        <v>0</v>
      </c>
      <c r="AT67" s="214">
        <f t="shared" si="95"/>
        <v>0</v>
      </c>
      <c r="AU67" s="98"/>
      <c r="AV67" s="215">
        <f t="shared" si="96"/>
        <v>0</v>
      </c>
      <c r="AW67" s="214">
        <f t="shared" si="97"/>
        <v>0</v>
      </c>
      <c r="AX67" s="98">
        <f t="shared" si="98"/>
        <v>0</v>
      </c>
      <c r="AY67" s="204">
        <f t="shared" si="99"/>
        <v>0</v>
      </c>
      <c r="AZ67" s="214">
        <f t="shared" si="100"/>
        <v>100</v>
      </c>
      <c r="BA67" s="98">
        <f t="shared" si="101"/>
        <v>79.53</v>
      </c>
      <c r="BB67" s="204">
        <f t="shared" si="102"/>
        <v>1079.22</v>
      </c>
    </row>
    <row r="68" spans="1:54" ht="15" customHeight="1" x14ac:dyDescent="0.2">
      <c r="A68" s="39"/>
      <c r="B68" s="45"/>
      <c r="C68" s="45"/>
      <c r="D68" s="41"/>
      <c r="E68" s="42"/>
      <c r="F68" s="242"/>
      <c r="G68" s="37"/>
      <c r="H68" s="642" t="s">
        <v>125</v>
      </c>
      <c r="I68" s="642"/>
      <c r="J68" s="642"/>
      <c r="K68" s="43">
        <f>SUM(K62:K67)</f>
        <v>15105.61</v>
      </c>
      <c r="L68" s="43">
        <f>SUM(L62:L67)</f>
        <v>0</v>
      </c>
      <c r="M68" s="648" t="s">
        <v>125</v>
      </c>
      <c r="N68" s="642"/>
      <c r="O68" s="172">
        <f>SUM(O62:O67)</f>
        <v>0</v>
      </c>
      <c r="P68" s="641" t="s">
        <v>125</v>
      </c>
      <c r="Q68" s="642"/>
      <c r="R68" s="172">
        <f>SUM(R62:R67)</f>
        <v>0</v>
      </c>
      <c r="S68" s="641" t="s">
        <v>125</v>
      </c>
      <c r="T68" s="642"/>
      <c r="U68" s="172">
        <f>SUM(U62:U67)</f>
        <v>0</v>
      </c>
      <c r="V68" s="641" t="s">
        <v>125</v>
      </c>
      <c r="W68" s="642"/>
      <c r="X68" s="172">
        <f>SUM(X62:X67)</f>
        <v>0</v>
      </c>
      <c r="Y68" s="641" t="s">
        <v>125</v>
      </c>
      <c r="Z68" s="642"/>
      <c r="AA68" s="172">
        <f>SUM(AA62:AA67)</f>
        <v>0</v>
      </c>
      <c r="AB68" s="641" t="s">
        <v>125</v>
      </c>
      <c r="AC68" s="642"/>
      <c r="AD68" s="172">
        <f>SUM(AD62:AD67)</f>
        <v>0</v>
      </c>
      <c r="AE68" s="641" t="s">
        <v>125</v>
      </c>
      <c r="AF68" s="642"/>
      <c r="AG68" s="172">
        <f>SUM(AG62:AG67)</f>
        <v>0</v>
      </c>
      <c r="AH68" s="641" t="s">
        <v>125</v>
      </c>
      <c r="AI68" s="642"/>
      <c r="AJ68" s="172">
        <f>SUM(AJ62:AJ67)</f>
        <v>0</v>
      </c>
      <c r="AK68" s="641" t="s">
        <v>125</v>
      </c>
      <c r="AL68" s="642"/>
      <c r="AM68" s="172">
        <f>SUM(AM62:AM67)</f>
        <v>0</v>
      </c>
      <c r="AN68" s="641" t="s">
        <v>125</v>
      </c>
      <c r="AO68" s="642"/>
      <c r="AP68" s="172">
        <f>SUM(AP62:AP67)</f>
        <v>0</v>
      </c>
      <c r="AQ68" s="641" t="s">
        <v>125</v>
      </c>
      <c r="AR68" s="642"/>
      <c r="AS68" s="172">
        <f>SUM(AS62:AS67)</f>
        <v>0</v>
      </c>
      <c r="AT68" s="641" t="s">
        <v>125</v>
      </c>
      <c r="AU68" s="642"/>
      <c r="AV68" s="173">
        <f>SUM(AV62:AV67)</f>
        <v>0</v>
      </c>
      <c r="AW68" s="641" t="s">
        <v>125</v>
      </c>
      <c r="AX68" s="642"/>
      <c r="AY68" s="43">
        <f>SUM(AY62:AY67)</f>
        <v>0</v>
      </c>
      <c r="AZ68" s="641" t="s">
        <v>125</v>
      </c>
      <c r="BA68" s="642"/>
      <c r="BB68" s="43">
        <f>SUM(BB61:BB67)</f>
        <v>15105.61</v>
      </c>
    </row>
    <row r="69" spans="1:54" ht="15" x14ac:dyDescent="0.2">
      <c r="A69" s="34" t="s">
        <v>340</v>
      </c>
      <c r="B69" s="47"/>
      <c r="C69" s="47"/>
      <c r="D69" s="27" t="s">
        <v>375</v>
      </c>
      <c r="E69" s="94"/>
      <c r="F69" s="242"/>
      <c r="G69" s="49"/>
      <c r="H69" s="49"/>
      <c r="I69" s="49"/>
      <c r="J69" s="37"/>
      <c r="K69" s="38"/>
      <c r="L69" s="206"/>
      <c r="M69" s="301"/>
      <c r="N69" s="295"/>
      <c r="O69" s="295"/>
      <c r="P69" s="302"/>
      <c r="Q69" s="295"/>
      <c r="R69" s="295"/>
      <c r="S69" s="302"/>
      <c r="T69" s="295"/>
      <c r="U69" s="295"/>
      <c r="V69" s="302"/>
      <c r="W69" s="295"/>
      <c r="X69" s="295"/>
      <c r="Y69" s="302"/>
      <c r="Z69" s="295"/>
      <c r="AA69" s="295"/>
      <c r="AB69" s="302"/>
      <c r="AC69" s="295"/>
      <c r="AD69" s="295"/>
      <c r="AE69" s="302"/>
      <c r="AF69" s="295"/>
      <c r="AG69" s="295"/>
      <c r="AH69" s="302"/>
      <c r="AI69" s="295"/>
      <c r="AJ69" s="295"/>
      <c r="AK69" s="302"/>
      <c r="AL69" s="295"/>
      <c r="AM69" s="295"/>
      <c r="AN69" s="302"/>
      <c r="AO69" s="295"/>
      <c r="AP69" s="295"/>
      <c r="AQ69" s="302"/>
      <c r="AR69" s="295"/>
      <c r="AS69" s="295"/>
      <c r="AT69" s="302"/>
      <c r="AU69" s="295"/>
      <c r="AV69" s="303"/>
      <c r="AW69" s="302"/>
      <c r="AX69" s="295"/>
      <c r="AY69" s="304"/>
      <c r="AZ69" s="302"/>
      <c r="BA69" s="295"/>
      <c r="BB69" s="304"/>
    </row>
    <row r="70" spans="1:54" ht="28.5" x14ac:dyDescent="0.2">
      <c r="A70" s="39" t="s">
        <v>342</v>
      </c>
      <c r="B70" s="338" t="s">
        <v>377</v>
      </c>
      <c r="C70" s="28" t="s">
        <v>378</v>
      </c>
      <c r="D70" s="50" t="s">
        <v>379</v>
      </c>
      <c r="E70" s="28" t="s">
        <v>98</v>
      </c>
      <c r="F70" s="329">
        <v>33.9</v>
      </c>
      <c r="G70" s="37">
        <f>'Quant Ampl 02 Salas'!F75</f>
        <v>161.97999999999999</v>
      </c>
      <c r="H70" s="37">
        <f>G70</f>
        <v>161.97999999999999</v>
      </c>
      <c r="I70" s="37">
        <f>H70-G70</f>
        <v>0</v>
      </c>
      <c r="J70" s="37">
        <f>ROUND((F70*(1+$K$8))*(1+$G$8),2)</f>
        <v>42.65</v>
      </c>
      <c r="K70" s="38">
        <f>TRUNC(J70*G70,2)</f>
        <v>6908.44</v>
      </c>
      <c r="L70" s="206">
        <f t="shared" si="0"/>
        <v>0</v>
      </c>
      <c r="M70" s="301">
        <f>N70/$H70*100</f>
        <v>0</v>
      </c>
      <c r="N70" s="295"/>
      <c r="O70" s="295">
        <f>TRUNC(N70*$J70,2)</f>
        <v>0</v>
      </c>
      <c r="P70" s="302">
        <f>Q70/$H70*100</f>
        <v>0</v>
      </c>
      <c r="Q70" s="295"/>
      <c r="R70" s="295">
        <f>TRUNC(Q70*$J70,2)</f>
        <v>0</v>
      </c>
      <c r="S70" s="302">
        <f>T70/$H70*100</f>
        <v>0</v>
      </c>
      <c r="T70" s="295"/>
      <c r="U70" s="295">
        <f>TRUNC(T70*$J70,2)</f>
        <v>0</v>
      </c>
      <c r="V70" s="302">
        <f>W70/$H70*100</f>
        <v>0</v>
      </c>
      <c r="W70" s="295"/>
      <c r="X70" s="295">
        <f>TRUNC(W70*$J70,2)</f>
        <v>0</v>
      </c>
      <c r="Y70" s="302">
        <f>Z70/$H70*100</f>
        <v>0</v>
      </c>
      <c r="Z70" s="295"/>
      <c r="AA70" s="295">
        <f>TRUNC(Z70*$J70,2)</f>
        <v>0</v>
      </c>
      <c r="AB70" s="302">
        <f>AC70/$H70*100</f>
        <v>0</v>
      </c>
      <c r="AC70" s="295"/>
      <c r="AD70" s="295">
        <f>TRUNC(AC70*$J70,2)</f>
        <v>0</v>
      </c>
      <c r="AE70" s="302">
        <f>AF70/$H70*100</f>
        <v>0</v>
      </c>
      <c r="AF70" s="295"/>
      <c r="AG70" s="295">
        <f>TRUNC(AF70*$J70,2)</f>
        <v>0</v>
      </c>
      <c r="AH70" s="302">
        <f>AI70/$H70*100</f>
        <v>0</v>
      </c>
      <c r="AI70" s="295"/>
      <c r="AJ70" s="295">
        <f>TRUNC(AI70*$J70,2)</f>
        <v>0</v>
      </c>
      <c r="AK70" s="302">
        <f>AL70/$H70*100</f>
        <v>0</v>
      </c>
      <c r="AL70" s="295"/>
      <c r="AM70" s="295">
        <f>TRUNC(AL70*$J70,2)</f>
        <v>0</v>
      </c>
      <c r="AN70" s="302">
        <f>AO70/$H70*100</f>
        <v>0</v>
      </c>
      <c r="AO70" s="295"/>
      <c r="AP70" s="295">
        <f>TRUNC(AO70*$J70,2)</f>
        <v>0</v>
      </c>
      <c r="AQ70" s="302">
        <f>AR70/$H70*100</f>
        <v>0</v>
      </c>
      <c r="AR70" s="295"/>
      <c r="AS70" s="295">
        <f>TRUNC(AR70*$J70,2)</f>
        <v>0</v>
      </c>
      <c r="AT70" s="302">
        <f>AU70/$H70*100</f>
        <v>0</v>
      </c>
      <c r="AU70" s="295"/>
      <c r="AV70" s="303">
        <f>TRUNC(AU70*$J70,2)</f>
        <v>0</v>
      </c>
      <c r="AW70" s="302">
        <f>AX70/$H70*100</f>
        <v>0</v>
      </c>
      <c r="AX70" s="295">
        <f>Q70+N70+T70+W70+Z70+AC70+AF70+AI70+AL70+AO70+AR70+AU70</f>
        <v>0</v>
      </c>
      <c r="AY70" s="304">
        <f>TRUNC(AX70*$J70,2)</f>
        <v>0</v>
      </c>
      <c r="AZ70" s="302">
        <f>BA70/$H70*100</f>
        <v>100</v>
      </c>
      <c r="BA70" s="295">
        <f>H70-AX70</f>
        <v>161.97999999999999</v>
      </c>
      <c r="BB70" s="304">
        <f>TRUNC(BA70*$J70,2)</f>
        <v>6908.44</v>
      </c>
    </row>
    <row r="71" spans="1:54" ht="15" customHeight="1" x14ac:dyDescent="0.2">
      <c r="A71" s="34"/>
      <c r="B71" s="45"/>
      <c r="C71" s="45"/>
      <c r="D71" s="41"/>
      <c r="E71" s="42"/>
      <c r="F71" s="242"/>
      <c r="G71" s="37"/>
      <c r="H71" s="642" t="s">
        <v>125</v>
      </c>
      <c r="I71" s="642"/>
      <c r="J71" s="642"/>
      <c r="K71" s="43">
        <f>SUM(K69:K70)</f>
        <v>6908.44</v>
      </c>
      <c r="L71" s="43">
        <f>SUM(L69:L70)</f>
        <v>0</v>
      </c>
      <c r="M71" s="648" t="s">
        <v>125</v>
      </c>
      <c r="N71" s="642"/>
      <c r="O71" s="43">
        <f>SUM(O69:O70)</f>
        <v>0</v>
      </c>
      <c r="P71" s="642" t="s">
        <v>125</v>
      </c>
      <c r="Q71" s="642"/>
      <c r="R71" s="43">
        <f>SUM(R69:R70)</f>
        <v>0</v>
      </c>
      <c r="S71" s="642" t="s">
        <v>125</v>
      </c>
      <c r="T71" s="642"/>
      <c r="U71" s="43">
        <f>SUM(U69:U70)</f>
        <v>0</v>
      </c>
      <c r="V71" s="642" t="s">
        <v>125</v>
      </c>
      <c r="W71" s="642"/>
      <c r="X71" s="43">
        <f>SUM(X69:X70)</f>
        <v>0</v>
      </c>
      <c r="Y71" s="642" t="s">
        <v>125</v>
      </c>
      <c r="Z71" s="642"/>
      <c r="AA71" s="43">
        <f>SUM(AA69:AA70)</f>
        <v>0</v>
      </c>
      <c r="AB71" s="642" t="s">
        <v>125</v>
      </c>
      <c r="AC71" s="642"/>
      <c r="AD71" s="43">
        <f>SUM(AD69:AD70)</f>
        <v>0</v>
      </c>
      <c r="AE71" s="642" t="s">
        <v>125</v>
      </c>
      <c r="AF71" s="642"/>
      <c r="AG71" s="43">
        <f>SUM(AG69:AG70)</f>
        <v>0</v>
      </c>
      <c r="AH71" s="642" t="s">
        <v>125</v>
      </c>
      <c r="AI71" s="642"/>
      <c r="AJ71" s="43">
        <f>SUM(AJ69:AJ70)</f>
        <v>0</v>
      </c>
      <c r="AK71" s="642" t="s">
        <v>125</v>
      </c>
      <c r="AL71" s="642"/>
      <c r="AM71" s="43">
        <f>SUM(AM69:AM70)</f>
        <v>0</v>
      </c>
      <c r="AN71" s="642" t="s">
        <v>125</v>
      </c>
      <c r="AO71" s="642"/>
      <c r="AP71" s="43">
        <f>SUM(AP69:AP70)</f>
        <v>0</v>
      </c>
      <c r="AQ71" s="642" t="s">
        <v>125</v>
      </c>
      <c r="AR71" s="642"/>
      <c r="AS71" s="43">
        <f>SUM(AS69:AS70)</f>
        <v>0</v>
      </c>
      <c r="AT71" s="642" t="s">
        <v>125</v>
      </c>
      <c r="AU71" s="642"/>
      <c r="AV71" s="43">
        <f>SUM(AV69:AV70)</f>
        <v>0</v>
      </c>
      <c r="AW71" s="642" t="s">
        <v>125</v>
      </c>
      <c r="AX71" s="642"/>
      <c r="AY71" s="43">
        <f>SUM(AY69:AY70)</f>
        <v>0</v>
      </c>
      <c r="AZ71" s="642" t="s">
        <v>125</v>
      </c>
      <c r="BA71" s="642"/>
      <c r="BB71" s="43">
        <f>SUM(BB69:BB70)</f>
        <v>6908.44</v>
      </c>
    </row>
    <row r="72" spans="1:54" ht="15" x14ac:dyDescent="0.2">
      <c r="A72" s="34" t="s">
        <v>374</v>
      </c>
      <c r="B72" s="47"/>
      <c r="C72" s="47"/>
      <c r="D72" s="48" t="s">
        <v>385</v>
      </c>
      <c r="E72" s="42"/>
      <c r="F72" s="242"/>
      <c r="G72" s="49"/>
      <c r="H72" s="49"/>
      <c r="I72" s="49"/>
      <c r="J72" s="37"/>
      <c r="K72" s="38"/>
      <c r="L72" s="206"/>
      <c r="M72" s="301"/>
      <c r="N72" s="295"/>
      <c r="O72" s="295"/>
      <c r="P72" s="302"/>
      <c r="Q72" s="295"/>
      <c r="R72" s="295"/>
      <c r="S72" s="302"/>
      <c r="T72" s="295"/>
      <c r="U72" s="295"/>
      <c r="V72" s="302"/>
      <c r="W72" s="295"/>
      <c r="X72" s="295"/>
      <c r="Y72" s="302"/>
      <c r="Z72" s="295"/>
      <c r="AA72" s="295"/>
      <c r="AB72" s="302"/>
      <c r="AC72" s="295"/>
      <c r="AD72" s="295"/>
      <c r="AE72" s="302"/>
      <c r="AF72" s="295"/>
      <c r="AG72" s="295"/>
      <c r="AH72" s="302"/>
      <c r="AI72" s="295"/>
      <c r="AJ72" s="295"/>
      <c r="AK72" s="302"/>
      <c r="AL72" s="295"/>
      <c r="AM72" s="295"/>
      <c r="AN72" s="302"/>
      <c r="AO72" s="295"/>
      <c r="AP72" s="295"/>
      <c r="AQ72" s="302"/>
      <c r="AR72" s="295"/>
      <c r="AS72" s="295"/>
      <c r="AT72" s="302"/>
      <c r="AU72" s="295"/>
      <c r="AV72" s="303"/>
      <c r="AW72" s="302"/>
      <c r="AX72" s="295"/>
      <c r="AY72" s="304"/>
      <c r="AZ72" s="302"/>
      <c r="BA72" s="295"/>
      <c r="BB72" s="304"/>
    </row>
    <row r="73" spans="1:54" ht="28.5" x14ac:dyDescent="0.2">
      <c r="A73" s="39" t="s">
        <v>376</v>
      </c>
      <c r="B73" s="338" t="s">
        <v>387</v>
      </c>
      <c r="C73" s="28" t="s">
        <v>388</v>
      </c>
      <c r="D73" s="50" t="s">
        <v>389</v>
      </c>
      <c r="E73" s="28" t="s">
        <v>98</v>
      </c>
      <c r="F73" s="329">
        <v>58.53</v>
      </c>
      <c r="G73" s="37">
        <f>'Quant Ampl 02 Salas'!F79</f>
        <v>14.4</v>
      </c>
      <c r="H73" s="37">
        <f>G73</f>
        <v>14.4</v>
      </c>
      <c r="I73" s="37">
        <f>H73-G73</f>
        <v>0</v>
      </c>
      <c r="J73" s="37">
        <f>ROUND((F73*(1+$K$8))*(1+$G$8),2)</f>
        <v>73.64</v>
      </c>
      <c r="K73" s="38">
        <f>TRUNC(J73*G73,2)</f>
        <v>1060.4100000000001</v>
      </c>
      <c r="L73" s="206">
        <f t="shared" si="0"/>
        <v>0</v>
      </c>
      <c r="M73" s="301">
        <f>N73/$H73*100</f>
        <v>0</v>
      </c>
      <c r="N73" s="295"/>
      <c r="O73" s="295">
        <f>TRUNC(N73*$J73,2)</f>
        <v>0</v>
      </c>
      <c r="P73" s="302">
        <f>Q73/$H73*100</f>
        <v>0</v>
      </c>
      <c r="Q73" s="295"/>
      <c r="R73" s="295">
        <f>TRUNC(Q73*$J73,2)</f>
        <v>0</v>
      </c>
      <c r="S73" s="302">
        <f>T73/$H73*100</f>
        <v>0</v>
      </c>
      <c r="T73" s="295"/>
      <c r="U73" s="295">
        <f>TRUNC(T73*$J73,2)</f>
        <v>0</v>
      </c>
      <c r="V73" s="302">
        <f>W73/$H73*100</f>
        <v>0</v>
      </c>
      <c r="W73" s="295"/>
      <c r="X73" s="295">
        <f>TRUNC(W73*$J73,2)</f>
        <v>0</v>
      </c>
      <c r="Y73" s="302">
        <f>Z73/$H73*100</f>
        <v>0</v>
      </c>
      <c r="Z73" s="295"/>
      <c r="AA73" s="295">
        <f>TRUNC(Z73*$J73,2)</f>
        <v>0</v>
      </c>
      <c r="AB73" s="302">
        <f>AC73/$H73*100</f>
        <v>0</v>
      </c>
      <c r="AC73" s="295"/>
      <c r="AD73" s="295">
        <f>TRUNC(AC73*$J73,2)</f>
        <v>0</v>
      </c>
      <c r="AE73" s="302">
        <f>AF73/$H73*100</f>
        <v>0</v>
      </c>
      <c r="AF73" s="295"/>
      <c r="AG73" s="295">
        <f>TRUNC(AF73*$J73,2)</f>
        <v>0</v>
      </c>
      <c r="AH73" s="302">
        <f>AI73/$H73*100</f>
        <v>0</v>
      </c>
      <c r="AI73" s="295"/>
      <c r="AJ73" s="295">
        <f>TRUNC(AI73*$J73,2)</f>
        <v>0</v>
      </c>
      <c r="AK73" s="302">
        <f>AL73/$H73*100</f>
        <v>0</v>
      </c>
      <c r="AL73" s="295"/>
      <c r="AM73" s="295">
        <f>TRUNC(AL73*$J73,2)</f>
        <v>0</v>
      </c>
      <c r="AN73" s="302">
        <f>AO73/$H73*100</f>
        <v>0</v>
      </c>
      <c r="AO73" s="295"/>
      <c r="AP73" s="295">
        <f>TRUNC(AO73*$J73,2)</f>
        <v>0</v>
      </c>
      <c r="AQ73" s="302">
        <f>AR73/$H73*100</f>
        <v>0</v>
      </c>
      <c r="AR73" s="295"/>
      <c r="AS73" s="295">
        <f>TRUNC(AR73*$J73,2)</f>
        <v>0</v>
      </c>
      <c r="AT73" s="302">
        <f>AU73/$H73*100</f>
        <v>0</v>
      </c>
      <c r="AU73" s="295"/>
      <c r="AV73" s="303">
        <f>TRUNC(AU73*$J73,2)</f>
        <v>0</v>
      </c>
      <c r="AW73" s="302">
        <f>AX73/$H73*100</f>
        <v>0</v>
      </c>
      <c r="AX73" s="295">
        <f>Q73+N73+T73+W73+Z73+AC73+AF73+AI73+AL73+AO73+AR73+AU73</f>
        <v>0</v>
      </c>
      <c r="AY73" s="304">
        <f>TRUNC(AX73*$J73,2)</f>
        <v>0</v>
      </c>
      <c r="AZ73" s="302">
        <f>BA73/$H73*100</f>
        <v>100</v>
      </c>
      <c r="BA73" s="295">
        <f>H73-AX73</f>
        <v>14.4</v>
      </c>
      <c r="BB73" s="304">
        <f>TRUNC(BA73*$J73,2)</f>
        <v>1060.4100000000001</v>
      </c>
    </row>
    <row r="74" spans="1:54" ht="15" customHeight="1" x14ac:dyDescent="0.2">
      <c r="A74" s="34"/>
      <c r="B74" s="45"/>
      <c r="C74" s="45"/>
      <c r="D74" s="41"/>
      <c r="E74" s="42"/>
      <c r="F74" s="242"/>
      <c r="G74" s="37"/>
      <c r="H74" s="642" t="s">
        <v>125</v>
      </c>
      <c r="I74" s="642"/>
      <c r="J74" s="642"/>
      <c r="K74" s="43">
        <f>SUM(K72:K73)</f>
        <v>1060.4100000000001</v>
      </c>
      <c r="L74" s="43">
        <f>SUM(L72:L73)</f>
        <v>0</v>
      </c>
      <c r="M74" s="648" t="s">
        <v>125</v>
      </c>
      <c r="N74" s="642"/>
      <c r="O74" s="43">
        <f>SUM(O72:O73)</f>
        <v>0</v>
      </c>
      <c r="P74" s="642" t="s">
        <v>125</v>
      </c>
      <c r="Q74" s="642"/>
      <c r="R74" s="43">
        <f>SUM(R72:R73)</f>
        <v>0</v>
      </c>
      <c r="S74" s="642" t="s">
        <v>125</v>
      </c>
      <c r="T74" s="642"/>
      <c r="U74" s="43">
        <f>SUM(U72:U73)</f>
        <v>0</v>
      </c>
      <c r="V74" s="642" t="s">
        <v>125</v>
      </c>
      <c r="W74" s="642"/>
      <c r="X74" s="43">
        <f>SUM(X72:X73)</f>
        <v>0</v>
      </c>
      <c r="Y74" s="642" t="s">
        <v>125</v>
      </c>
      <c r="Z74" s="642"/>
      <c r="AA74" s="43">
        <f>SUM(AA72:AA73)</f>
        <v>0</v>
      </c>
      <c r="AB74" s="642" t="s">
        <v>125</v>
      </c>
      <c r="AC74" s="642"/>
      <c r="AD74" s="43">
        <f>SUM(AD72:AD73)</f>
        <v>0</v>
      </c>
      <c r="AE74" s="642" t="s">
        <v>125</v>
      </c>
      <c r="AF74" s="642"/>
      <c r="AG74" s="43">
        <f>SUM(AG72:AG73)</f>
        <v>0</v>
      </c>
      <c r="AH74" s="642" t="s">
        <v>125</v>
      </c>
      <c r="AI74" s="642"/>
      <c r="AJ74" s="43">
        <f>SUM(AJ72:AJ73)</f>
        <v>0</v>
      </c>
      <c r="AK74" s="642" t="s">
        <v>125</v>
      </c>
      <c r="AL74" s="642"/>
      <c r="AM74" s="43">
        <f>SUM(AM72:AM73)</f>
        <v>0</v>
      </c>
      <c r="AN74" s="642" t="s">
        <v>125</v>
      </c>
      <c r="AO74" s="642"/>
      <c r="AP74" s="43">
        <f>SUM(AP72:AP73)</f>
        <v>0</v>
      </c>
      <c r="AQ74" s="642" t="s">
        <v>125</v>
      </c>
      <c r="AR74" s="642"/>
      <c r="AS74" s="43">
        <f>SUM(AS72:AS73)</f>
        <v>0</v>
      </c>
      <c r="AT74" s="642" t="s">
        <v>125</v>
      </c>
      <c r="AU74" s="642"/>
      <c r="AV74" s="43">
        <f>SUM(AV72:AV73)</f>
        <v>0</v>
      </c>
      <c r="AW74" s="642" t="s">
        <v>125</v>
      </c>
      <c r="AX74" s="642"/>
      <c r="AY74" s="43">
        <f>SUM(AY72:AY73)</f>
        <v>0</v>
      </c>
      <c r="AZ74" s="642" t="s">
        <v>125</v>
      </c>
      <c r="BA74" s="642"/>
      <c r="BB74" s="43">
        <f>SUM(BB72:BB73)</f>
        <v>1060.4100000000001</v>
      </c>
    </row>
    <row r="75" spans="1:54" ht="15" x14ac:dyDescent="0.2">
      <c r="A75" s="34" t="s">
        <v>384</v>
      </c>
      <c r="B75" s="47"/>
      <c r="C75" s="47"/>
      <c r="D75" s="48" t="s">
        <v>391</v>
      </c>
      <c r="E75" s="42"/>
      <c r="F75" s="242"/>
      <c r="G75" s="49"/>
      <c r="H75" s="49"/>
      <c r="I75" s="49"/>
      <c r="J75" s="37"/>
      <c r="K75" s="38"/>
      <c r="L75" s="206"/>
      <c r="M75" s="301"/>
      <c r="N75" s="295"/>
      <c r="O75" s="295"/>
      <c r="P75" s="302"/>
      <c r="Q75" s="295"/>
      <c r="R75" s="295"/>
      <c r="S75" s="302"/>
      <c r="T75" s="295"/>
      <c r="U75" s="295"/>
      <c r="V75" s="302"/>
      <c r="W75" s="295"/>
      <c r="X75" s="295"/>
      <c r="Y75" s="302"/>
      <c r="Z75" s="295"/>
      <c r="AA75" s="295"/>
      <c r="AB75" s="302"/>
      <c r="AC75" s="295"/>
      <c r="AD75" s="295"/>
      <c r="AE75" s="302"/>
      <c r="AF75" s="295"/>
      <c r="AG75" s="295"/>
      <c r="AH75" s="302"/>
      <c r="AI75" s="295"/>
      <c r="AJ75" s="295"/>
      <c r="AK75" s="302"/>
      <c r="AL75" s="295"/>
      <c r="AM75" s="295"/>
      <c r="AN75" s="302"/>
      <c r="AO75" s="295"/>
      <c r="AP75" s="295"/>
      <c r="AQ75" s="302"/>
      <c r="AR75" s="295"/>
      <c r="AS75" s="295"/>
      <c r="AT75" s="302"/>
      <c r="AU75" s="295"/>
      <c r="AV75" s="303"/>
      <c r="AW75" s="302"/>
      <c r="AX75" s="295"/>
      <c r="AY75" s="304"/>
      <c r="AZ75" s="302"/>
      <c r="BA75" s="295"/>
      <c r="BB75" s="304"/>
    </row>
    <row r="76" spans="1:54" ht="28.5" x14ac:dyDescent="0.2">
      <c r="A76" s="39" t="s">
        <v>386</v>
      </c>
      <c r="B76" s="338" t="s">
        <v>393</v>
      </c>
      <c r="C76" s="28" t="s">
        <v>394</v>
      </c>
      <c r="D76" s="50" t="s">
        <v>395</v>
      </c>
      <c r="E76" s="28" t="s">
        <v>98</v>
      </c>
      <c r="F76" s="329">
        <v>7.79</v>
      </c>
      <c r="G76" s="36">
        <f>'Quant Ampl 02 Salas'!F82</f>
        <v>338.99</v>
      </c>
      <c r="H76" s="36">
        <f>G76</f>
        <v>338.99</v>
      </c>
      <c r="I76" s="37">
        <f>H76-G76</f>
        <v>0</v>
      </c>
      <c r="J76" s="37">
        <f>ROUND((F76*(1+$K$8))*(1+$G$8),2)</f>
        <v>9.8000000000000007</v>
      </c>
      <c r="K76" s="38">
        <f>TRUNC(J76*G76,2)</f>
        <v>3322.1</v>
      </c>
      <c r="L76" s="206">
        <f t="shared" si="0"/>
        <v>0</v>
      </c>
      <c r="M76" s="301">
        <f>N76/$H76*100</f>
        <v>0</v>
      </c>
      <c r="N76" s="295"/>
      <c r="O76" s="295">
        <f>TRUNC(N76*$J76,2)</f>
        <v>0</v>
      </c>
      <c r="P76" s="302">
        <f>Q76/$H76*100</f>
        <v>0</v>
      </c>
      <c r="Q76" s="295"/>
      <c r="R76" s="295">
        <f>TRUNC(Q76*$J76,2)</f>
        <v>0</v>
      </c>
      <c r="S76" s="302">
        <f>T76/$H76*100</f>
        <v>0</v>
      </c>
      <c r="T76" s="295"/>
      <c r="U76" s="295">
        <f>TRUNC(T76*$J76,2)</f>
        <v>0</v>
      </c>
      <c r="V76" s="302">
        <f>W76/$H76*100</f>
        <v>0</v>
      </c>
      <c r="W76" s="295"/>
      <c r="X76" s="295">
        <f>TRUNC(W76*$J76,2)</f>
        <v>0</v>
      </c>
      <c r="Y76" s="302">
        <f>Z76/$H76*100</f>
        <v>0</v>
      </c>
      <c r="Z76" s="295"/>
      <c r="AA76" s="295">
        <f>TRUNC(Z76*$J76,2)</f>
        <v>0</v>
      </c>
      <c r="AB76" s="302">
        <f>AC76/$H76*100</f>
        <v>0</v>
      </c>
      <c r="AC76" s="295"/>
      <c r="AD76" s="295">
        <f>TRUNC(AC76*$J76,2)</f>
        <v>0</v>
      </c>
      <c r="AE76" s="302">
        <f>AF76/$H76*100</f>
        <v>0</v>
      </c>
      <c r="AF76" s="295"/>
      <c r="AG76" s="295">
        <f>TRUNC(AF76*$J76,2)</f>
        <v>0</v>
      </c>
      <c r="AH76" s="302">
        <f>AI76/$H76*100</f>
        <v>0</v>
      </c>
      <c r="AI76" s="295"/>
      <c r="AJ76" s="295">
        <f>TRUNC(AI76*$J76,2)</f>
        <v>0</v>
      </c>
      <c r="AK76" s="302">
        <f>AL76/$H76*100</f>
        <v>0</v>
      </c>
      <c r="AL76" s="295"/>
      <c r="AM76" s="295">
        <f>TRUNC(AL76*$J76,2)</f>
        <v>0</v>
      </c>
      <c r="AN76" s="302">
        <f>AO76/$H76*100</f>
        <v>0</v>
      </c>
      <c r="AO76" s="295"/>
      <c r="AP76" s="295">
        <f>TRUNC(AO76*$J76,2)</f>
        <v>0</v>
      </c>
      <c r="AQ76" s="302">
        <f>AR76/$H76*100</f>
        <v>0</v>
      </c>
      <c r="AR76" s="295"/>
      <c r="AS76" s="295">
        <f>TRUNC(AR76*$J76,2)</f>
        <v>0</v>
      </c>
      <c r="AT76" s="302">
        <f>AU76/$H76*100</f>
        <v>0</v>
      </c>
      <c r="AU76" s="295"/>
      <c r="AV76" s="303">
        <f>TRUNC(AU76*$J76,2)</f>
        <v>0</v>
      </c>
      <c r="AW76" s="302">
        <f>AX76/$H76*100</f>
        <v>0</v>
      </c>
      <c r="AX76" s="295">
        <f>Q76+N76+T76+W76+Z76+AC76+AF76+AI76+AL76+AO76+AR76+AU76</f>
        <v>0</v>
      </c>
      <c r="AY76" s="304">
        <f>TRUNC(AX76*$J76,2)</f>
        <v>0</v>
      </c>
      <c r="AZ76" s="302">
        <f>BA76/$H76*100</f>
        <v>100</v>
      </c>
      <c r="BA76" s="295">
        <f>H76-AX76</f>
        <v>338.99</v>
      </c>
      <c r="BB76" s="304">
        <f>TRUNC(BA76*$J76,2)</f>
        <v>3322.1</v>
      </c>
    </row>
    <row r="77" spans="1:54" ht="28.5" x14ac:dyDescent="0.2">
      <c r="A77" s="39" t="s">
        <v>700</v>
      </c>
      <c r="B77" s="338" t="s">
        <v>397</v>
      </c>
      <c r="C77" s="28" t="s">
        <v>398</v>
      </c>
      <c r="D77" s="349" t="s">
        <v>399</v>
      </c>
      <c r="E77" s="28" t="s">
        <v>98</v>
      </c>
      <c r="F77" s="329">
        <v>8.1999999999999993</v>
      </c>
      <c r="G77" s="36">
        <f>'Quant Ampl 02 Salas'!F83</f>
        <v>338.99</v>
      </c>
      <c r="H77" s="36">
        <f>G77</f>
        <v>338.99</v>
      </c>
      <c r="I77" s="37">
        <f>H77-G77</f>
        <v>0</v>
      </c>
      <c r="J77" s="37">
        <f>ROUND((F77*(1+$K$8))*(1+$G$8),2)</f>
        <v>10.32</v>
      </c>
      <c r="K77" s="38">
        <f>TRUNC(J77*G77,2)</f>
        <v>3498.37</v>
      </c>
      <c r="L77" s="206">
        <f>TRUNC(J77*I77,2)</f>
        <v>0</v>
      </c>
      <c r="M77" s="301">
        <f>N77/$H77*100</f>
        <v>0</v>
      </c>
      <c r="N77" s="295"/>
      <c r="O77" s="295">
        <f>TRUNC(N77*$J77,2)</f>
        <v>0</v>
      </c>
      <c r="P77" s="302">
        <f>Q77/$H77*100</f>
        <v>0</v>
      </c>
      <c r="Q77" s="295"/>
      <c r="R77" s="295">
        <f>TRUNC(Q77*$J77,2)</f>
        <v>0</v>
      </c>
      <c r="S77" s="302">
        <f>T77/$H77*100</f>
        <v>0</v>
      </c>
      <c r="T77" s="295"/>
      <c r="U77" s="295">
        <f>TRUNC(T77*$J77,2)</f>
        <v>0</v>
      </c>
      <c r="V77" s="302">
        <f>W77/$H77*100</f>
        <v>0</v>
      </c>
      <c r="W77" s="295"/>
      <c r="X77" s="295">
        <f>TRUNC(W77*$J77,2)</f>
        <v>0</v>
      </c>
      <c r="Y77" s="302">
        <f>Z77/$H77*100</f>
        <v>0</v>
      </c>
      <c r="Z77" s="295"/>
      <c r="AA77" s="295">
        <f>TRUNC(Z77*$J77,2)</f>
        <v>0</v>
      </c>
      <c r="AB77" s="302">
        <f>AC77/$H77*100</f>
        <v>0</v>
      </c>
      <c r="AC77" s="295"/>
      <c r="AD77" s="295">
        <f>TRUNC(AC77*$J77,2)</f>
        <v>0</v>
      </c>
      <c r="AE77" s="302">
        <f>AF77/$H77*100</f>
        <v>0</v>
      </c>
      <c r="AF77" s="295"/>
      <c r="AG77" s="295">
        <f>TRUNC(AF77*$J77,2)</f>
        <v>0</v>
      </c>
      <c r="AH77" s="302">
        <f>AI77/$H77*100</f>
        <v>0</v>
      </c>
      <c r="AI77" s="295"/>
      <c r="AJ77" s="295">
        <f>TRUNC(AI77*$J77,2)</f>
        <v>0</v>
      </c>
      <c r="AK77" s="302">
        <f>AL77/$H77*100</f>
        <v>0</v>
      </c>
      <c r="AL77" s="295"/>
      <c r="AM77" s="295">
        <f>TRUNC(AL77*$J77,2)</f>
        <v>0</v>
      </c>
      <c r="AN77" s="302">
        <f>AO77/$H77*100</f>
        <v>0</v>
      </c>
      <c r="AO77" s="295"/>
      <c r="AP77" s="295">
        <f>TRUNC(AO77*$J77,2)</f>
        <v>0</v>
      </c>
      <c r="AQ77" s="302">
        <f>AR77/$H77*100</f>
        <v>0</v>
      </c>
      <c r="AR77" s="295"/>
      <c r="AS77" s="295">
        <f>TRUNC(AR77*$J77,2)</f>
        <v>0</v>
      </c>
      <c r="AT77" s="302">
        <f>AU77/$H77*100</f>
        <v>0</v>
      </c>
      <c r="AU77" s="295"/>
      <c r="AV77" s="303">
        <f>TRUNC(AU77*$J77,2)</f>
        <v>0</v>
      </c>
      <c r="AW77" s="302">
        <f>AX77/$H77*100</f>
        <v>0</v>
      </c>
      <c r="AX77" s="295">
        <f>Q77+N77+T77+W77+Z77+AC77+AF77+AI77+AL77+AO77+AR77+AU77</f>
        <v>0</v>
      </c>
      <c r="AY77" s="304">
        <f>TRUNC(AX77*$J77,2)</f>
        <v>0</v>
      </c>
      <c r="AZ77" s="302">
        <f>BA77/$H77*100</f>
        <v>100</v>
      </c>
      <c r="BA77" s="295">
        <f>H77-AX77</f>
        <v>338.99</v>
      </c>
      <c r="BB77" s="304">
        <f>TRUNC(BA77*$J77,2)</f>
        <v>3498.37</v>
      </c>
    </row>
    <row r="78" spans="1:54" ht="42.75" x14ac:dyDescent="0.2">
      <c r="A78" s="39" t="s">
        <v>701</v>
      </c>
      <c r="B78" s="37" t="s">
        <v>104</v>
      </c>
      <c r="C78" s="37" t="s">
        <v>104</v>
      </c>
      <c r="D78" s="92" t="s">
        <v>401</v>
      </c>
      <c r="E78" s="28" t="s">
        <v>98</v>
      </c>
      <c r="F78" s="341">
        <f>5.6*1.25</f>
        <v>7</v>
      </c>
      <c r="G78" s="36">
        <f>'Quant Ampl 02 Salas'!F84</f>
        <v>124.3</v>
      </c>
      <c r="H78" s="36">
        <f>G78</f>
        <v>124.3</v>
      </c>
      <c r="I78" s="37">
        <f>H78-G78</f>
        <v>0</v>
      </c>
      <c r="J78" s="37">
        <f>ROUND((F78*(1+$K$8))*(1+$G$8),2)</f>
        <v>8.81</v>
      </c>
      <c r="K78" s="38">
        <f>TRUNC(J78*G78,2)</f>
        <v>1095.08</v>
      </c>
      <c r="L78" s="206">
        <f t="shared" si="0"/>
        <v>0</v>
      </c>
      <c r="M78" s="301">
        <f>N78/$H78*100</f>
        <v>0</v>
      </c>
      <c r="N78" s="295"/>
      <c r="O78" s="295">
        <f>TRUNC(N78*$J78,2)</f>
        <v>0</v>
      </c>
      <c r="P78" s="302">
        <f>Q78/$H78*100</f>
        <v>0</v>
      </c>
      <c r="Q78" s="295"/>
      <c r="R78" s="295">
        <f>TRUNC(Q78*$J78,2)</f>
        <v>0</v>
      </c>
      <c r="S78" s="302">
        <f>T78/$H78*100</f>
        <v>0</v>
      </c>
      <c r="T78" s="295"/>
      <c r="U78" s="295">
        <f>TRUNC(T78*$J78,2)</f>
        <v>0</v>
      </c>
      <c r="V78" s="302">
        <f>W78/$H78*100</f>
        <v>0</v>
      </c>
      <c r="W78" s="295"/>
      <c r="X78" s="295">
        <f>TRUNC(W78*$J78,2)</f>
        <v>0</v>
      </c>
      <c r="Y78" s="302">
        <f>Z78/$H78*100</f>
        <v>0</v>
      </c>
      <c r="Z78" s="295"/>
      <c r="AA78" s="295">
        <f>TRUNC(Z78*$J78,2)</f>
        <v>0</v>
      </c>
      <c r="AB78" s="302">
        <f>AC78/$H78*100</f>
        <v>0</v>
      </c>
      <c r="AC78" s="295"/>
      <c r="AD78" s="295">
        <f>TRUNC(AC78*$J78,2)</f>
        <v>0</v>
      </c>
      <c r="AE78" s="302">
        <f>AF78/$H78*100</f>
        <v>0</v>
      </c>
      <c r="AF78" s="295"/>
      <c r="AG78" s="295">
        <f>TRUNC(AF78*$J78,2)</f>
        <v>0</v>
      </c>
      <c r="AH78" s="302">
        <f>AI78/$H78*100</f>
        <v>0</v>
      </c>
      <c r="AI78" s="295"/>
      <c r="AJ78" s="295">
        <f>TRUNC(AI78*$J78,2)</f>
        <v>0</v>
      </c>
      <c r="AK78" s="302">
        <f>AL78/$H78*100</f>
        <v>0</v>
      </c>
      <c r="AL78" s="295"/>
      <c r="AM78" s="295">
        <f>TRUNC(AL78*$J78,2)</f>
        <v>0</v>
      </c>
      <c r="AN78" s="302">
        <f>AO78/$H78*100</f>
        <v>0</v>
      </c>
      <c r="AO78" s="295"/>
      <c r="AP78" s="295">
        <f>TRUNC(AO78*$J78,2)</f>
        <v>0</v>
      </c>
      <c r="AQ78" s="302">
        <f>AR78/$H78*100</f>
        <v>0</v>
      </c>
      <c r="AR78" s="295"/>
      <c r="AS78" s="295">
        <f>TRUNC(AR78*$J78,2)</f>
        <v>0</v>
      </c>
      <c r="AT78" s="302">
        <f>AU78/$H78*100</f>
        <v>0</v>
      </c>
      <c r="AU78" s="295"/>
      <c r="AV78" s="303">
        <f>TRUNC(AU78*$J78,2)</f>
        <v>0</v>
      </c>
      <c r="AW78" s="302">
        <f>AX78/$H78*100</f>
        <v>0</v>
      </c>
      <c r="AX78" s="295">
        <f>Q78+N78+T78+W78+Z78+AC78+AF78+AI78+AL78+AO78+AR78+AU78</f>
        <v>0</v>
      </c>
      <c r="AY78" s="304">
        <f>TRUNC(AX78*$J78,2)</f>
        <v>0</v>
      </c>
      <c r="AZ78" s="302">
        <f>BA78/$H78*100</f>
        <v>100</v>
      </c>
      <c r="BA78" s="295">
        <f>H78-AX78</f>
        <v>124.3</v>
      </c>
      <c r="BB78" s="304">
        <f>TRUNC(BA78*$J78,2)</f>
        <v>1095.08</v>
      </c>
    </row>
    <row r="79" spans="1:54" ht="42.75" x14ac:dyDescent="0.2">
      <c r="A79" s="39" t="s">
        <v>702</v>
      </c>
      <c r="B79" s="338" t="s">
        <v>403</v>
      </c>
      <c r="C79" s="28" t="s">
        <v>404</v>
      </c>
      <c r="D79" s="33" t="s">
        <v>703</v>
      </c>
      <c r="E79" s="28" t="s">
        <v>98</v>
      </c>
      <c r="F79" s="329">
        <v>16.71</v>
      </c>
      <c r="G79" s="36">
        <f>'Quant Ampl 02 Salas'!F87</f>
        <v>49.74</v>
      </c>
      <c r="H79" s="36">
        <f>G79</f>
        <v>49.74</v>
      </c>
      <c r="I79" s="37">
        <f>H79-G79</f>
        <v>0</v>
      </c>
      <c r="J79" s="37">
        <f>ROUND((F79*(1+$K$8))*(1+$G$8),2)</f>
        <v>21.02</v>
      </c>
      <c r="K79" s="38">
        <f>TRUNC(J79*G79,2)</f>
        <v>1045.53</v>
      </c>
      <c r="L79" s="206">
        <f t="shared" si="0"/>
        <v>0</v>
      </c>
      <c r="M79" s="301">
        <f>N79/$H79*100</f>
        <v>0</v>
      </c>
      <c r="N79" s="295"/>
      <c r="O79" s="295">
        <f>TRUNC(N79*$J79,2)</f>
        <v>0</v>
      </c>
      <c r="P79" s="302">
        <f>Q79/$H79*100</f>
        <v>0</v>
      </c>
      <c r="Q79" s="295"/>
      <c r="R79" s="295">
        <f>TRUNC(Q79*$J79,2)</f>
        <v>0</v>
      </c>
      <c r="S79" s="302">
        <f>T79/$H79*100</f>
        <v>0</v>
      </c>
      <c r="T79" s="295"/>
      <c r="U79" s="295">
        <f>TRUNC(T79*$J79,2)</f>
        <v>0</v>
      </c>
      <c r="V79" s="302">
        <f>W79/$H79*100</f>
        <v>0</v>
      </c>
      <c r="W79" s="295"/>
      <c r="X79" s="295">
        <f>TRUNC(W79*$J79,2)</f>
        <v>0</v>
      </c>
      <c r="Y79" s="302">
        <f>Z79/$H79*100</f>
        <v>0</v>
      </c>
      <c r="Z79" s="295"/>
      <c r="AA79" s="295">
        <f>TRUNC(Z79*$J79,2)</f>
        <v>0</v>
      </c>
      <c r="AB79" s="302">
        <f>AC79/$H79*100</f>
        <v>0</v>
      </c>
      <c r="AC79" s="295"/>
      <c r="AD79" s="295">
        <f>TRUNC(AC79*$J79,2)</f>
        <v>0</v>
      </c>
      <c r="AE79" s="302">
        <f>AF79/$H79*100</f>
        <v>0</v>
      </c>
      <c r="AF79" s="295"/>
      <c r="AG79" s="295">
        <f>TRUNC(AF79*$J79,2)</f>
        <v>0</v>
      </c>
      <c r="AH79" s="302">
        <f>AI79/$H79*100</f>
        <v>0</v>
      </c>
      <c r="AI79" s="295"/>
      <c r="AJ79" s="295">
        <f>TRUNC(AI79*$J79,2)</f>
        <v>0</v>
      </c>
      <c r="AK79" s="302">
        <f>AL79/$H79*100</f>
        <v>0</v>
      </c>
      <c r="AL79" s="295"/>
      <c r="AM79" s="295">
        <f>TRUNC(AL79*$J79,2)</f>
        <v>0</v>
      </c>
      <c r="AN79" s="302">
        <f>AO79/$H79*100</f>
        <v>0</v>
      </c>
      <c r="AO79" s="295"/>
      <c r="AP79" s="295">
        <f>TRUNC(AO79*$J79,2)</f>
        <v>0</v>
      </c>
      <c r="AQ79" s="302">
        <f>AR79/$H79*100</f>
        <v>0</v>
      </c>
      <c r="AR79" s="295"/>
      <c r="AS79" s="295">
        <f>TRUNC(AR79*$J79,2)</f>
        <v>0</v>
      </c>
      <c r="AT79" s="302">
        <f>AU79/$H79*100</f>
        <v>0</v>
      </c>
      <c r="AU79" s="295"/>
      <c r="AV79" s="303">
        <f>TRUNC(AU79*$J79,2)</f>
        <v>0</v>
      </c>
      <c r="AW79" s="302">
        <f>AX79/$H79*100</f>
        <v>0</v>
      </c>
      <c r="AX79" s="295">
        <f>Q79+N79+T79+W79+Z79+AC79+AF79+AI79+AL79+AO79+AR79+AU79</f>
        <v>0</v>
      </c>
      <c r="AY79" s="304">
        <f>TRUNC(AX79*$J79,2)</f>
        <v>0</v>
      </c>
      <c r="AZ79" s="302">
        <f>BA79/$H79*100</f>
        <v>100</v>
      </c>
      <c r="BA79" s="295">
        <f>H79-AX79</f>
        <v>49.74</v>
      </c>
      <c r="BB79" s="304">
        <f>TRUNC(BA79*$J79,2)</f>
        <v>1045.53</v>
      </c>
    </row>
    <row r="80" spans="1:54" ht="15" customHeight="1" x14ac:dyDescent="0.2">
      <c r="A80" s="34"/>
      <c r="B80" s="45"/>
      <c r="C80" s="45"/>
      <c r="D80" s="51" t="s">
        <v>55</v>
      </c>
      <c r="E80" s="42"/>
      <c r="F80" s="242"/>
      <c r="G80" s="37"/>
      <c r="H80" s="642" t="s">
        <v>125</v>
      </c>
      <c r="I80" s="642"/>
      <c r="J80" s="642"/>
      <c r="K80" s="43">
        <f>SUM(K76:K79)</f>
        <v>8961.08</v>
      </c>
      <c r="L80" s="43">
        <f>SUM(L76:L79)</f>
        <v>0</v>
      </c>
      <c r="M80" s="648" t="s">
        <v>125</v>
      </c>
      <c r="N80" s="642"/>
      <c r="O80" s="172">
        <f>SUM(O76:O79)</f>
        <v>0</v>
      </c>
      <c r="P80" s="641" t="s">
        <v>125</v>
      </c>
      <c r="Q80" s="642"/>
      <c r="R80" s="172">
        <f>SUM(R76:R79)</f>
        <v>0</v>
      </c>
      <c r="S80" s="641" t="s">
        <v>125</v>
      </c>
      <c r="T80" s="642"/>
      <c r="U80" s="172">
        <f>SUM(U76:U79)</f>
        <v>0</v>
      </c>
      <c r="V80" s="641" t="s">
        <v>125</v>
      </c>
      <c r="W80" s="642"/>
      <c r="X80" s="172">
        <f>SUM(X76:X79)</f>
        <v>0</v>
      </c>
      <c r="Y80" s="641" t="s">
        <v>125</v>
      </c>
      <c r="Z80" s="642"/>
      <c r="AA80" s="172">
        <f>SUM(AA76:AA79)</f>
        <v>0</v>
      </c>
      <c r="AB80" s="641" t="s">
        <v>125</v>
      </c>
      <c r="AC80" s="642"/>
      <c r="AD80" s="172">
        <f>SUM(AD76:AD79)</f>
        <v>0</v>
      </c>
      <c r="AE80" s="641" t="s">
        <v>125</v>
      </c>
      <c r="AF80" s="642"/>
      <c r="AG80" s="172">
        <f>SUM(AG76:AG79)</f>
        <v>0</v>
      </c>
      <c r="AH80" s="641" t="s">
        <v>125</v>
      </c>
      <c r="AI80" s="642"/>
      <c r="AJ80" s="172">
        <f>SUM(AJ76:AJ79)</f>
        <v>0</v>
      </c>
      <c r="AK80" s="641" t="s">
        <v>125</v>
      </c>
      <c r="AL80" s="642"/>
      <c r="AM80" s="172">
        <f>SUM(AM76:AM79)</f>
        <v>0</v>
      </c>
      <c r="AN80" s="641" t="s">
        <v>125</v>
      </c>
      <c r="AO80" s="642"/>
      <c r="AP80" s="172">
        <f>SUM(AP76:AP79)</f>
        <v>0</v>
      </c>
      <c r="AQ80" s="641" t="s">
        <v>125</v>
      </c>
      <c r="AR80" s="642"/>
      <c r="AS80" s="172">
        <f>SUM(AS76:AS79)</f>
        <v>0</v>
      </c>
      <c r="AT80" s="641" t="s">
        <v>125</v>
      </c>
      <c r="AU80" s="642"/>
      <c r="AV80" s="173">
        <f>SUM(AV76:AV79)</f>
        <v>0</v>
      </c>
      <c r="AW80" s="641" t="s">
        <v>125</v>
      </c>
      <c r="AX80" s="642"/>
      <c r="AY80" s="43">
        <f>SUM(AY76:AY79)</f>
        <v>0</v>
      </c>
      <c r="AZ80" s="641" t="s">
        <v>125</v>
      </c>
      <c r="BA80" s="642"/>
      <c r="BB80" s="43">
        <f>SUM(BB76:BB79)</f>
        <v>8961.08</v>
      </c>
    </row>
    <row r="81" spans="1:54" ht="15" x14ac:dyDescent="0.2">
      <c r="A81" s="34" t="s">
        <v>390</v>
      </c>
      <c r="B81" s="47"/>
      <c r="C81" s="47"/>
      <c r="D81" s="27" t="s">
        <v>413</v>
      </c>
      <c r="E81" s="42"/>
      <c r="F81" s="242"/>
      <c r="G81" s="49"/>
      <c r="H81" s="49"/>
      <c r="I81" s="49"/>
      <c r="J81" s="37"/>
      <c r="K81" s="38"/>
      <c r="L81" s="206"/>
      <c r="M81" s="301"/>
      <c r="N81" s="295"/>
      <c r="O81" s="295"/>
      <c r="P81" s="302"/>
      <c r="Q81" s="295"/>
      <c r="R81" s="295"/>
      <c r="S81" s="302"/>
      <c r="T81" s="295"/>
      <c r="U81" s="295"/>
      <c r="V81" s="302"/>
      <c r="W81" s="295"/>
      <c r="X81" s="295"/>
      <c r="Y81" s="302"/>
      <c r="Z81" s="295"/>
      <c r="AA81" s="295"/>
      <c r="AB81" s="302"/>
      <c r="AC81" s="295"/>
      <c r="AD81" s="295"/>
      <c r="AE81" s="302"/>
      <c r="AF81" s="295"/>
      <c r="AG81" s="295"/>
      <c r="AH81" s="302"/>
      <c r="AI81" s="295"/>
      <c r="AJ81" s="295"/>
      <c r="AK81" s="302"/>
      <c r="AL81" s="295"/>
      <c r="AM81" s="295"/>
      <c r="AN81" s="302"/>
      <c r="AO81" s="295"/>
      <c r="AP81" s="295"/>
      <c r="AQ81" s="302"/>
      <c r="AR81" s="295"/>
      <c r="AS81" s="295"/>
      <c r="AT81" s="302"/>
      <c r="AU81" s="295"/>
      <c r="AV81" s="303"/>
      <c r="AW81" s="302"/>
      <c r="AX81" s="295"/>
      <c r="AY81" s="304"/>
      <c r="AZ81" s="302"/>
      <c r="BA81" s="295"/>
      <c r="BB81" s="304"/>
    </row>
    <row r="82" spans="1:54" ht="57" x14ac:dyDescent="0.2">
      <c r="A82" s="39" t="s">
        <v>392</v>
      </c>
      <c r="B82" s="37" t="s">
        <v>104</v>
      </c>
      <c r="C82" s="37" t="s">
        <v>104</v>
      </c>
      <c r="D82" s="50" t="s">
        <v>415</v>
      </c>
      <c r="E82" s="28" t="s">
        <v>110</v>
      </c>
      <c r="F82" s="351">
        <f>166*1.25</f>
        <v>207.5</v>
      </c>
      <c r="G82" s="37">
        <f>'Quant Ampl 02 Salas'!F90</f>
        <v>2</v>
      </c>
      <c r="H82" s="37">
        <f>G82</f>
        <v>2</v>
      </c>
      <c r="I82" s="37">
        <f>H82-G82</f>
        <v>0</v>
      </c>
      <c r="J82" s="37">
        <f>ROUND((F82*(1+$K$8))*(1+$G$8),2)</f>
        <v>261.06</v>
      </c>
      <c r="K82" s="38">
        <f>TRUNC(J82*G82,2)</f>
        <v>522.12</v>
      </c>
      <c r="L82" s="206">
        <f>TRUNC(J82*I82,2)</f>
        <v>0</v>
      </c>
      <c r="M82" s="301">
        <f>N82/$H82*100</f>
        <v>0</v>
      </c>
      <c r="N82" s="295"/>
      <c r="O82" s="295">
        <f>TRUNC(N82*$J82,2)</f>
        <v>0</v>
      </c>
      <c r="P82" s="302">
        <f>Q82/$H82*100</f>
        <v>0</v>
      </c>
      <c r="Q82" s="295"/>
      <c r="R82" s="295">
        <f>TRUNC(Q82*$J82,2)</f>
        <v>0</v>
      </c>
      <c r="S82" s="302">
        <f>T82/$H82*100</f>
        <v>0</v>
      </c>
      <c r="T82" s="295"/>
      <c r="U82" s="295">
        <f>TRUNC(T82*$J82,2)</f>
        <v>0</v>
      </c>
      <c r="V82" s="302">
        <f>W82/$H82*100</f>
        <v>0</v>
      </c>
      <c r="W82" s="295"/>
      <c r="X82" s="295">
        <f>TRUNC(W82*$J82,2)</f>
        <v>0</v>
      </c>
      <c r="Y82" s="302">
        <f>Z82/$H82*100</f>
        <v>0</v>
      </c>
      <c r="Z82" s="295"/>
      <c r="AA82" s="295">
        <f>TRUNC(Z82*$J82,2)</f>
        <v>0</v>
      </c>
      <c r="AB82" s="302">
        <f>AC82/$H82*100</f>
        <v>0</v>
      </c>
      <c r="AC82" s="295"/>
      <c r="AD82" s="295">
        <f>TRUNC(AC82*$J82,2)</f>
        <v>0</v>
      </c>
      <c r="AE82" s="302">
        <f>AF82/$H82*100</f>
        <v>0</v>
      </c>
      <c r="AF82" s="295"/>
      <c r="AG82" s="295">
        <f>TRUNC(AF82*$J82,2)</f>
        <v>0</v>
      </c>
      <c r="AH82" s="302">
        <f>AI82/$H82*100</f>
        <v>0</v>
      </c>
      <c r="AI82" s="295"/>
      <c r="AJ82" s="295">
        <f>TRUNC(AI82*$J82,2)</f>
        <v>0</v>
      </c>
      <c r="AK82" s="302">
        <f>AL82/$H82*100</f>
        <v>0</v>
      </c>
      <c r="AL82" s="295"/>
      <c r="AM82" s="295">
        <f>TRUNC(AL82*$J82,2)</f>
        <v>0</v>
      </c>
      <c r="AN82" s="302">
        <f>AO82/$H82*100</f>
        <v>0</v>
      </c>
      <c r="AO82" s="295"/>
      <c r="AP82" s="295">
        <f>TRUNC(AO82*$J82,2)</f>
        <v>0</v>
      </c>
      <c r="AQ82" s="302">
        <f>AR82/$H82*100</f>
        <v>0</v>
      </c>
      <c r="AR82" s="295"/>
      <c r="AS82" s="295">
        <f>TRUNC(AR82*$J82,2)</f>
        <v>0</v>
      </c>
      <c r="AT82" s="302">
        <f>AU82/$H82*100</f>
        <v>0</v>
      </c>
      <c r="AU82" s="295"/>
      <c r="AV82" s="303">
        <f>TRUNC(AU82*$J82,2)</f>
        <v>0</v>
      </c>
      <c r="AW82" s="302">
        <f>AX82/$H82*100</f>
        <v>0</v>
      </c>
      <c r="AX82" s="295">
        <f>Q82+N82+T82+W82+Z82+AC82+AF82+AI82+AL82+AO82+AR82+AU82</f>
        <v>0</v>
      </c>
      <c r="AY82" s="304">
        <f>TRUNC(AX82*$J82,2)</f>
        <v>0</v>
      </c>
      <c r="AZ82" s="302">
        <f>BA82/$H82*100</f>
        <v>100</v>
      </c>
      <c r="BA82" s="295">
        <f>H82-AX82</f>
        <v>2</v>
      </c>
      <c r="BB82" s="304">
        <f>TRUNC(BA82*$J82,2)</f>
        <v>522.12</v>
      </c>
    </row>
    <row r="83" spans="1:54" ht="15" customHeight="1" x14ac:dyDescent="0.2">
      <c r="A83" s="34"/>
      <c r="B83" s="45"/>
      <c r="C83" s="45"/>
      <c r="D83" s="41"/>
      <c r="E83" s="42"/>
      <c r="F83" s="242"/>
      <c r="G83" s="37"/>
      <c r="H83" s="642" t="s">
        <v>479</v>
      </c>
      <c r="I83" s="642"/>
      <c r="J83" s="642"/>
      <c r="K83" s="43">
        <f>SUM(K81:K82)</f>
        <v>522.12</v>
      </c>
      <c r="L83" s="43">
        <f>SUM(L81:L82)</f>
        <v>0</v>
      </c>
      <c r="M83" s="648" t="s">
        <v>125</v>
      </c>
      <c r="N83" s="642"/>
      <c r="O83" s="172">
        <f>SUM(O81:O82)</f>
        <v>0</v>
      </c>
      <c r="P83" s="641" t="s">
        <v>125</v>
      </c>
      <c r="Q83" s="642"/>
      <c r="R83" s="172">
        <f>SUM(R81:R82)</f>
        <v>0</v>
      </c>
      <c r="S83" s="641" t="s">
        <v>125</v>
      </c>
      <c r="T83" s="642"/>
      <c r="U83" s="172">
        <f>SUM(U81:U82)</f>
        <v>0</v>
      </c>
      <c r="V83" s="641" t="s">
        <v>125</v>
      </c>
      <c r="W83" s="642"/>
      <c r="X83" s="172">
        <f>SUM(X81:X82)</f>
        <v>0</v>
      </c>
      <c r="Y83" s="641" t="s">
        <v>125</v>
      </c>
      <c r="Z83" s="642"/>
      <c r="AA83" s="172">
        <f>SUM(AA81:AA82)</f>
        <v>0</v>
      </c>
      <c r="AB83" s="641" t="s">
        <v>125</v>
      </c>
      <c r="AC83" s="642"/>
      <c r="AD83" s="172">
        <f>SUM(AD81:AD82)</f>
        <v>0</v>
      </c>
      <c r="AE83" s="641" t="s">
        <v>125</v>
      </c>
      <c r="AF83" s="642"/>
      <c r="AG83" s="172">
        <f>SUM(AG81:AG82)</f>
        <v>0</v>
      </c>
      <c r="AH83" s="641" t="s">
        <v>125</v>
      </c>
      <c r="AI83" s="642"/>
      <c r="AJ83" s="172">
        <f>SUM(AJ81:AJ82)</f>
        <v>0</v>
      </c>
      <c r="AK83" s="641" t="s">
        <v>125</v>
      </c>
      <c r="AL83" s="642"/>
      <c r="AM83" s="172">
        <f>SUM(AM81:AM82)</f>
        <v>0</v>
      </c>
      <c r="AN83" s="641" t="s">
        <v>125</v>
      </c>
      <c r="AO83" s="642"/>
      <c r="AP83" s="172">
        <f>SUM(AP81:AP82)</f>
        <v>0</v>
      </c>
      <c r="AQ83" s="641" t="s">
        <v>125</v>
      </c>
      <c r="AR83" s="642"/>
      <c r="AS83" s="172">
        <f>SUM(AS81:AS82)</f>
        <v>0</v>
      </c>
      <c r="AT83" s="641" t="s">
        <v>125</v>
      </c>
      <c r="AU83" s="642"/>
      <c r="AV83" s="173">
        <f>SUM(AV81:AV82)</f>
        <v>0</v>
      </c>
      <c r="AW83" s="641" t="s">
        <v>125</v>
      </c>
      <c r="AX83" s="642"/>
      <c r="AY83" s="43">
        <f>SUM(AY81:AY82)</f>
        <v>0</v>
      </c>
      <c r="AZ83" s="641" t="s">
        <v>125</v>
      </c>
      <c r="BA83" s="642"/>
      <c r="BB83" s="43">
        <f>SUM(BB81:BB82)</f>
        <v>522.12</v>
      </c>
    </row>
    <row r="84" spans="1:54" ht="15" x14ac:dyDescent="0.2">
      <c r="A84" s="34" t="s">
        <v>412</v>
      </c>
      <c r="B84" s="47"/>
      <c r="C84" s="47"/>
      <c r="D84" s="93" t="s">
        <v>679</v>
      </c>
      <c r="E84" s="45"/>
      <c r="F84" s="354"/>
      <c r="G84" s="99"/>
      <c r="H84" s="99"/>
      <c r="I84" s="29"/>
      <c r="J84" s="30"/>
      <c r="K84" s="31"/>
      <c r="L84" s="206"/>
      <c r="M84" s="301"/>
      <c r="N84" s="295"/>
      <c r="O84" s="295"/>
      <c r="P84" s="302"/>
      <c r="Q84" s="295"/>
      <c r="R84" s="295"/>
      <c r="S84" s="302"/>
      <c r="T84" s="295"/>
      <c r="U84" s="295"/>
      <c r="V84" s="302"/>
      <c r="W84" s="295"/>
      <c r="X84" s="295"/>
      <c r="Y84" s="302"/>
      <c r="Z84" s="295"/>
      <c r="AA84" s="295"/>
      <c r="AB84" s="302"/>
      <c r="AC84" s="295"/>
      <c r="AD84" s="295"/>
      <c r="AE84" s="302"/>
      <c r="AF84" s="295"/>
      <c r="AG84" s="295"/>
      <c r="AH84" s="302"/>
      <c r="AI84" s="295"/>
      <c r="AJ84" s="295"/>
      <c r="AK84" s="302"/>
      <c r="AL84" s="295"/>
      <c r="AM84" s="295"/>
      <c r="AN84" s="302"/>
      <c r="AO84" s="295"/>
      <c r="AP84" s="295"/>
      <c r="AQ84" s="302"/>
      <c r="AR84" s="295"/>
      <c r="AS84" s="295"/>
      <c r="AT84" s="302"/>
      <c r="AU84" s="295"/>
      <c r="AV84" s="303"/>
      <c r="AW84" s="302"/>
      <c r="AX84" s="295"/>
      <c r="AY84" s="304"/>
      <c r="AZ84" s="302"/>
      <c r="BA84" s="295"/>
      <c r="BB84" s="304"/>
    </row>
    <row r="85" spans="1:54" ht="28.5" x14ac:dyDescent="0.2">
      <c r="A85" s="39" t="s">
        <v>414</v>
      </c>
      <c r="B85" s="338" t="s">
        <v>433</v>
      </c>
      <c r="C85" s="28" t="s">
        <v>434</v>
      </c>
      <c r="D85" s="50" t="s">
        <v>435</v>
      </c>
      <c r="E85" s="28" t="s">
        <v>98</v>
      </c>
      <c r="F85" s="339">
        <v>32.64</v>
      </c>
      <c r="G85" s="99">
        <f>'Quant Ampl 02 Salas'!F102</f>
        <v>26.69</v>
      </c>
      <c r="H85" s="99">
        <f>G85</f>
        <v>26.69</v>
      </c>
      <c r="I85" s="37">
        <f>H85-G85</f>
        <v>0</v>
      </c>
      <c r="J85" s="37">
        <f>ROUND((F85*(1+$K$8))*(1+$G$8),2)</f>
        <v>41.06</v>
      </c>
      <c r="K85" s="38">
        <f>TRUNC(J85*G85,2)</f>
        <v>1095.8900000000001</v>
      </c>
      <c r="L85" s="206">
        <f>TRUNC(J85*I85,2)</f>
        <v>0</v>
      </c>
      <c r="M85" s="301">
        <f>N85/$H85*100</f>
        <v>0</v>
      </c>
      <c r="N85" s="295"/>
      <c r="O85" s="295">
        <f>TRUNC(N85*$J85,2)</f>
        <v>0</v>
      </c>
      <c r="P85" s="302">
        <f>Q85/$H85*100</f>
        <v>0</v>
      </c>
      <c r="Q85" s="295"/>
      <c r="R85" s="295">
        <f>TRUNC(Q85*$J85,2)</f>
        <v>0</v>
      </c>
      <c r="S85" s="302">
        <f>T85/$H85*100</f>
        <v>0</v>
      </c>
      <c r="T85" s="295"/>
      <c r="U85" s="295">
        <f>TRUNC(T85*$J85,2)</f>
        <v>0</v>
      </c>
      <c r="V85" s="302">
        <f>W85/$H85*100</f>
        <v>0</v>
      </c>
      <c r="W85" s="295"/>
      <c r="X85" s="295">
        <f>TRUNC(W85*$J85,2)</f>
        <v>0</v>
      </c>
      <c r="Y85" s="302">
        <f>Z85/$H85*100</f>
        <v>0</v>
      </c>
      <c r="Z85" s="295"/>
      <c r="AA85" s="295">
        <f>TRUNC(Z85*$J85,2)</f>
        <v>0</v>
      </c>
      <c r="AB85" s="302">
        <f>AC85/$H85*100</f>
        <v>0</v>
      </c>
      <c r="AC85" s="295"/>
      <c r="AD85" s="295">
        <f>TRUNC(AC85*$J85,2)</f>
        <v>0</v>
      </c>
      <c r="AE85" s="302">
        <f>AF85/$H85*100</f>
        <v>0</v>
      </c>
      <c r="AF85" s="295"/>
      <c r="AG85" s="295">
        <f>TRUNC(AF85*$J85,2)</f>
        <v>0</v>
      </c>
      <c r="AH85" s="302">
        <f>AI85/$H85*100</f>
        <v>0</v>
      </c>
      <c r="AI85" s="295"/>
      <c r="AJ85" s="295">
        <f>TRUNC(AI85*$J85,2)</f>
        <v>0</v>
      </c>
      <c r="AK85" s="302">
        <f>AL85/$H85*100</f>
        <v>0</v>
      </c>
      <c r="AL85" s="295"/>
      <c r="AM85" s="295">
        <f>TRUNC(AL85*$J85,2)</f>
        <v>0</v>
      </c>
      <c r="AN85" s="302">
        <f>AO85/$H85*100</f>
        <v>0</v>
      </c>
      <c r="AO85" s="295"/>
      <c r="AP85" s="295">
        <f>TRUNC(AO85*$J85,2)</f>
        <v>0</v>
      </c>
      <c r="AQ85" s="302">
        <f>AR85/$H85*100</f>
        <v>0</v>
      </c>
      <c r="AR85" s="295"/>
      <c r="AS85" s="295">
        <f>TRUNC(AR85*$J85,2)</f>
        <v>0</v>
      </c>
      <c r="AT85" s="302">
        <f>AU85/$H85*100</f>
        <v>0</v>
      </c>
      <c r="AU85" s="295"/>
      <c r="AV85" s="303">
        <f>TRUNC(AU85*$J85,2)</f>
        <v>0</v>
      </c>
      <c r="AW85" s="302">
        <f>AX85/$H85*100</f>
        <v>0</v>
      </c>
      <c r="AX85" s="295">
        <f>Q85+N85+T85+W85+Z85+AC85+AF85+AI85+AL85+AO85+AR85+AU85</f>
        <v>0</v>
      </c>
      <c r="AY85" s="304">
        <f>TRUNC(AX85*$J85,2)</f>
        <v>0</v>
      </c>
      <c r="AZ85" s="302">
        <f>BA85/$H85*100</f>
        <v>100</v>
      </c>
      <c r="BA85" s="295">
        <f>H85-AX85</f>
        <v>26.69</v>
      </c>
      <c r="BB85" s="304">
        <f>TRUNC(BA85*$J85,2)</f>
        <v>1095.8900000000001</v>
      </c>
    </row>
    <row r="86" spans="1:54" s="6" customFormat="1" ht="15" customHeight="1" x14ac:dyDescent="0.2">
      <c r="A86" s="39"/>
      <c r="B86" s="47"/>
      <c r="C86" s="47"/>
      <c r="D86" s="40"/>
      <c r="E86" s="32"/>
      <c r="F86" s="256"/>
      <c r="G86" s="44"/>
      <c r="H86" s="642" t="s">
        <v>479</v>
      </c>
      <c r="I86" s="642"/>
      <c r="J86" s="642"/>
      <c r="K86" s="43">
        <f>SUM(K84:K85)</f>
        <v>1095.8900000000001</v>
      </c>
      <c r="L86" s="43">
        <f>SUM(L84:L85)</f>
        <v>0</v>
      </c>
      <c r="M86" s="648" t="s">
        <v>125</v>
      </c>
      <c r="N86" s="642"/>
      <c r="O86" s="172">
        <f>SUM(O84:O85)</f>
        <v>0</v>
      </c>
      <c r="P86" s="641" t="s">
        <v>125</v>
      </c>
      <c r="Q86" s="642"/>
      <c r="R86" s="172">
        <f>SUM(R84:R85)</f>
        <v>0</v>
      </c>
      <c r="S86" s="641" t="s">
        <v>125</v>
      </c>
      <c r="T86" s="642"/>
      <c r="U86" s="172">
        <f>SUM(U84:U85)</f>
        <v>0</v>
      </c>
      <c r="V86" s="641" t="s">
        <v>125</v>
      </c>
      <c r="W86" s="642"/>
      <c r="X86" s="172">
        <f>SUM(X84:X85)</f>
        <v>0</v>
      </c>
      <c r="Y86" s="641" t="s">
        <v>125</v>
      </c>
      <c r="Z86" s="642"/>
      <c r="AA86" s="172">
        <f>SUM(AA84:AA85)</f>
        <v>0</v>
      </c>
      <c r="AB86" s="641" t="s">
        <v>125</v>
      </c>
      <c r="AC86" s="642"/>
      <c r="AD86" s="172">
        <f>SUM(AD84:AD85)</f>
        <v>0</v>
      </c>
      <c r="AE86" s="641" t="s">
        <v>125</v>
      </c>
      <c r="AF86" s="642"/>
      <c r="AG86" s="172">
        <f>SUM(AG84:AG85)</f>
        <v>0</v>
      </c>
      <c r="AH86" s="641" t="s">
        <v>125</v>
      </c>
      <c r="AI86" s="642"/>
      <c r="AJ86" s="172">
        <f>SUM(AJ84:AJ85)</f>
        <v>0</v>
      </c>
      <c r="AK86" s="641" t="s">
        <v>125</v>
      </c>
      <c r="AL86" s="642"/>
      <c r="AM86" s="172">
        <f>SUM(AM84:AM85)</f>
        <v>0</v>
      </c>
      <c r="AN86" s="641" t="s">
        <v>125</v>
      </c>
      <c r="AO86" s="642"/>
      <c r="AP86" s="172">
        <f>SUM(AP84:AP85)</f>
        <v>0</v>
      </c>
      <c r="AQ86" s="641" t="s">
        <v>125</v>
      </c>
      <c r="AR86" s="642"/>
      <c r="AS86" s="172">
        <f>SUM(AS84:AS85)</f>
        <v>0</v>
      </c>
      <c r="AT86" s="641" t="s">
        <v>125</v>
      </c>
      <c r="AU86" s="642"/>
      <c r="AV86" s="173">
        <f>SUM(AV84:AV85)</f>
        <v>0</v>
      </c>
      <c r="AW86" s="641" t="s">
        <v>125</v>
      </c>
      <c r="AX86" s="642"/>
      <c r="AY86" s="43">
        <f>SUM(AY84:AY85)</f>
        <v>0</v>
      </c>
      <c r="AZ86" s="641" t="s">
        <v>125</v>
      </c>
      <c r="BA86" s="642"/>
      <c r="BB86" s="43">
        <f>SUM(BB84:BB85)</f>
        <v>1095.8900000000001</v>
      </c>
    </row>
    <row r="87" spans="1:54" s="6" customFormat="1" ht="15" x14ac:dyDescent="0.2">
      <c r="A87" s="34" t="s">
        <v>430</v>
      </c>
      <c r="B87" s="47"/>
      <c r="C87" s="47"/>
      <c r="D87" s="54" t="s">
        <v>474</v>
      </c>
      <c r="E87" s="32"/>
      <c r="F87" s="256"/>
      <c r="G87" s="385"/>
      <c r="H87" s="385"/>
      <c r="I87" s="391"/>
      <c r="J87" s="391"/>
      <c r="K87" s="53"/>
      <c r="L87" s="206"/>
      <c r="M87" s="301"/>
      <c r="N87" s="295"/>
      <c r="O87" s="295"/>
      <c r="P87" s="302"/>
      <c r="Q87" s="295"/>
      <c r="R87" s="295"/>
      <c r="S87" s="302"/>
      <c r="T87" s="295"/>
      <c r="U87" s="295"/>
      <c r="V87" s="302"/>
      <c r="W87" s="295"/>
      <c r="X87" s="295"/>
      <c r="Y87" s="302"/>
      <c r="Z87" s="295"/>
      <c r="AA87" s="295"/>
      <c r="AB87" s="302"/>
      <c r="AC87" s="295"/>
      <c r="AD87" s="295"/>
      <c r="AE87" s="302"/>
      <c r="AF87" s="295"/>
      <c r="AG87" s="295"/>
      <c r="AH87" s="302"/>
      <c r="AI87" s="295"/>
      <c r="AJ87" s="295"/>
      <c r="AK87" s="302"/>
      <c r="AL87" s="295"/>
      <c r="AM87" s="295"/>
      <c r="AN87" s="302"/>
      <c r="AO87" s="295"/>
      <c r="AP87" s="295"/>
      <c r="AQ87" s="302"/>
      <c r="AR87" s="295"/>
      <c r="AS87" s="295"/>
      <c r="AT87" s="302"/>
      <c r="AU87" s="295"/>
      <c r="AV87" s="303"/>
      <c r="AW87" s="302"/>
      <c r="AX87" s="295"/>
      <c r="AY87" s="304"/>
      <c r="AZ87" s="302"/>
      <c r="BA87" s="295"/>
      <c r="BB87" s="304"/>
    </row>
    <row r="88" spans="1:54" ht="15" x14ac:dyDescent="0.2">
      <c r="A88" s="39" t="s">
        <v>432</v>
      </c>
      <c r="B88" s="338" t="s">
        <v>476</v>
      </c>
      <c r="C88" s="28" t="s">
        <v>477</v>
      </c>
      <c r="D88" s="58" t="s">
        <v>478</v>
      </c>
      <c r="E88" s="28" t="s">
        <v>98</v>
      </c>
      <c r="F88" s="339">
        <v>3.59</v>
      </c>
      <c r="G88" s="99">
        <f>'Quant Ampl 02 Salas'!F114</f>
        <v>135.29</v>
      </c>
      <c r="H88" s="99">
        <f>G88</f>
        <v>135.29</v>
      </c>
      <c r="I88" s="37">
        <f>H88-G88</f>
        <v>0</v>
      </c>
      <c r="J88" s="37">
        <f>ROUND((F88*(1+$K$8))*(1+$G$8),2)</f>
        <v>4.5199999999999996</v>
      </c>
      <c r="K88" s="38">
        <f>TRUNC(J88*G88,2)</f>
        <v>611.51</v>
      </c>
      <c r="L88" s="206">
        <f>TRUNC(J88*I88,2)</f>
        <v>0</v>
      </c>
      <c r="M88" s="301">
        <f>N88/$H88*100</f>
        <v>0</v>
      </c>
      <c r="N88" s="295"/>
      <c r="O88" s="295">
        <f>TRUNC(N88*$J88,2)</f>
        <v>0</v>
      </c>
      <c r="P88" s="302">
        <f>Q88/$H88*100</f>
        <v>0</v>
      </c>
      <c r="Q88" s="295"/>
      <c r="R88" s="295">
        <f>TRUNC(Q88*$J88,2)</f>
        <v>0</v>
      </c>
      <c r="S88" s="302">
        <f>T88/$H88*100</f>
        <v>0</v>
      </c>
      <c r="T88" s="295"/>
      <c r="U88" s="295">
        <f>TRUNC(T88*$J88,2)</f>
        <v>0</v>
      </c>
      <c r="V88" s="302">
        <f>W88/$H88*100</f>
        <v>0</v>
      </c>
      <c r="W88" s="295"/>
      <c r="X88" s="295">
        <f>TRUNC(W88*$J88,2)</f>
        <v>0</v>
      </c>
      <c r="Y88" s="302">
        <f>Z88/$H88*100</f>
        <v>0</v>
      </c>
      <c r="Z88" s="295"/>
      <c r="AA88" s="295">
        <f>TRUNC(Z88*$J88,2)</f>
        <v>0</v>
      </c>
      <c r="AB88" s="302">
        <f>AC88/$H88*100</f>
        <v>0</v>
      </c>
      <c r="AC88" s="295"/>
      <c r="AD88" s="295">
        <f>TRUNC(AC88*$J88,2)</f>
        <v>0</v>
      </c>
      <c r="AE88" s="302">
        <f>AF88/$H88*100</f>
        <v>0</v>
      </c>
      <c r="AF88" s="295"/>
      <c r="AG88" s="295">
        <f>TRUNC(AF88*$J88,2)</f>
        <v>0</v>
      </c>
      <c r="AH88" s="302">
        <f>AI88/$H88*100</f>
        <v>0</v>
      </c>
      <c r="AI88" s="295"/>
      <c r="AJ88" s="295">
        <f>TRUNC(AI88*$J88,2)</f>
        <v>0</v>
      </c>
      <c r="AK88" s="302">
        <f>AL88/$H88*100</f>
        <v>0</v>
      </c>
      <c r="AL88" s="295"/>
      <c r="AM88" s="295">
        <f>TRUNC(AL88*$J88,2)</f>
        <v>0</v>
      </c>
      <c r="AN88" s="302">
        <f>AO88/$H88*100</f>
        <v>0</v>
      </c>
      <c r="AO88" s="295"/>
      <c r="AP88" s="295">
        <f>TRUNC(AO88*$J88,2)</f>
        <v>0</v>
      </c>
      <c r="AQ88" s="302">
        <f>AR88/$H88*100</f>
        <v>0</v>
      </c>
      <c r="AR88" s="295"/>
      <c r="AS88" s="295">
        <f>TRUNC(AR88*$J88,2)</f>
        <v>0</v>
      </c>
      <c r="AT88" s="302">
        <f>AU88/$H88*100</f>
        <v>0</v>
      </c>
      <c r="AU88" s="295"/>
      <c r="AV88" s="303">
        <f>TRUNC(AU88*$J88,2)</f>
        <v>0</v>
      </c>
      <c r="AW88" s="302">
        <f>AX88/$H88*100</f>
        <v>0</v>
      </c>
      <c r="AX88" s="295">
        <f>Q88+N88+T88+W88+Z88+AC88+AF88+AI88+AL88+AO88+AR88+AU88</f>
        <v>0</v>
      </c>
      <c r="AY88" s="304">
        <f>TRUNC(AX88*$J88,2)</f>
        <v>0</v>
      </c>
      <c r="AZ88" s="302">
        <f>BA88/$H88*100</f>
        <v>100</v>
      </c>
      <c r="BA88" s="295">
        <f>H88-AX88</f>
        <v>135.29</v>
      </c>
      <c r="BB88" s="304">
        <f>TRUNC(BA88*$J88,2)</f>
        <v>611.51</v>
      </c>
    </row>
    <row r="89" spans="1:54" ht="15" customHeight="1" x14ac:dyDescent="0.2">
      <c r="A89" s="34"/>
      <c r="B89" s="37"/>
      <c r="C89" s="37"/>
      <c r="D89" s="49"/>
      <c r="E89" s="37"/>
      <c r="F89" s="242"/>
      <c r="G89" s="37"/>
      <c r="H89" s="642" t="s">
        <v>479</v>
      </c>
      <c r="I89" s="642"/>
      <c r="J89" s="642"/>
      <c r="K89" s="43">
        <f>SUM(K87:K88)</f>
        <v>611.51</v>
      </c>
      <c r="L89" s="43">
        <f>SUM(L87:L88)</f>
        <v>0</v>
      </c>
      <c r="M89" s="648" t="s">
        <v>125</v>
      </c>
      <c r="N89" s="642"/>
      <c r="O89" s="172">
        <f>SUM(O87:O88)</f>
        <v>0</v>
      </c>
      <c r="P89" s="641" t="s">
        <v>125</v>
      </c>
      <c r="Q89" s="642"/>
      <c r="R89" s="172">
        <f>SUM(R87:R88)</f>
        <v>0</v>
      </c>
      <c r="S89" s="641" t="s">
        <v>125</v>
      </c>
      <c r="T89" s="642"/>
      <c r="U89" s="172">
        <f>SUM(U87:U88)</f>
        <v>0</v>
      </c>
      <c r="V89" s="641" t="s">
        <v>125</v>
      </c>
      <c r="W89" s="642"/>
      <c r="X89" s="172">
        <f>SUM(X87:X88)</f>
        <v>0</v>
      </c>
      <c r="Y89" s="641" t="s">
        <v>125</v>
      </c>
      <c r="Z89" s="642"/>
      <c r="AA89" s="172">
        <f>SUM(AA87:AA88)</f>
        <v>0</v>
      </c>
      <c r="AB89" s="641" t="s">
        <v>125</v>
      </c>
      <c r="AC89" s="642"/>
      <c r="AD89" s="172">
        <f>SUM(AD87:AD88)</f>
        <v>0</v>
      </c>
      <c r="AE89" s="641" t="s">
        <v>125</v>
      </c>
      <c r="AF89" s="642"/>
      <c r="AG89" s="172">
        <f>SUM(AG87:AG88)</f>
        <v>0</v>
      </c>
      <c r="AH89" s="641" t="s">
        <v>125</v>
      </c>
      <c r="AI89" s="642"/>
      <c r="AJ89" s="172">
        <f>SUM(AJ87:AJ88)</f>
        <v>0</v>
      </c>
      <c r="AK89" s="641" t="s">
        <v>125</v>
      </c>
      <c r="AL89" s="642"/>
      <c r="AM89" s="172">
        <f>SUM(AM87:AM88)</f>
        <v>0</v>
      </c>
      <c r="AN89" s="641" t="s">
        <v>125</v>
      </c>
      <c r="AO89" s="642"/>
      <c r="AP89" s="172">
        <f>SUM(AP87:AP88)</f>
        <v>0</v>
      </c>
      <c r="AQ89" s="641" t="s">
        <v>125</v>
      </c>
      <c r="AR89" s="642"/>
      <c r="AS89" s="172">
        <f>SUM(AS87:AS88)</f>
        <v>0</v>
      </c>
      <c r="AT89" s="641" t="s">
        <v>125</v>
      </c>
      <c r="AU89" s="642"/>
      <c r="AV89" s="173">
        <f>SUM(AV87:AV88)</f>
        <v>0</v>
      </c>
      <c r="AW89" s="641" t="s">
        <v>125</v>
      </c>
      <c r="AX89" s="642"/>
      <c r="AY89" s="43">
        <f>SUM(AY87:AY88)</f>
        <v>0</v>
      </c>
      <c r="AZ89" s="641" t="s">
        <v>125</v>
      </c>
      <c r="BA89" s="642"/>
      <c r="BB89" s="43">
        <f>SUM(BB87:BB88)</f>
        <v>611.51</v>
      </c>
    </row>
    <row r="90" spans="1:54" s="6" customFormat="1" ht="15.75" customHeight="1" thickBot="1" x14ac:dyDescent="0.25">
      <c r="A90" s="55"/>
      <c r="B90" s="56"/>
      <c r="C90" s="56"/>
      <c r="D90" s="237" t="str">
        <f>RESUMO!A22</f>
        <v>CUIABÁ - MT, 04 DE NOVEMBRO DE 2022</v>
      </c>
      <c r="E90" s="56"/>
      <c r="F90" s="355"/>
      <c r="G90" s="56"/>
      <c r="H90" s="644" t="s">
        <v>480</v>
      </c>
      <c r="I90" s="644"/>
      <c r="J90" s="644"/>
      <c r="K90" s="238">
        <f>SUM(K12:K89)/2</f>
        <v>90706.390000000014</v>
      </c>
      <c r="L90" s="238">
        <f>SUM(L12:L89)/2</f>
        <v>0</v>
      </c>
      <c r="M90" s="653" t="s">
        <v>480</v>
      </c>
      <c r="N90" s="644"/>
      <c r="O90" s="239">
        <f>SUM(O13:O89)/2</f>
        <v>0</v>
      </c>
      <c r="P90" s="643" t="s">
        <v>480</v>
      </c>
      <c r="Q90" s="644"/>
      <c r="R90" s="239">
        <f>SUM(R13:R89)/2</f>
        <v>0</v>
      </c>
      <c r="S90" s="643" t="s">
        <v>480</v>
      </c>
      <c r="T90" s="644"/>
      <c r="U90" s="239">
        <f>SUM(U13:U89)/2</f>
        <v>0</v>
      </c>
      <c r="V90" s="643" t="s">
        <v>480</v>
      </c>
      <c r="W90" s="644"/>
      <c r="X90" s="239">
        <f>SUM(X13:X89)/2</f>
        <v>0</v>
      </c>
      <c r="Y90" s="643" t="s">
        <v>480</v>
      </c>
      <c r="Z90" s="644"/>
      <c r="AA90" s="239">
        <f>SUM(AA13:AA89)/2</f>
        <v>0</v>
      </c>
      <c r="AB90" s="643" t="s">
        <v>480</v>
      </c>
      <c r="AC90" s="644"/>
      <c r="AD90" s="239">
        <f>SUM(AD13:AD89)/2</f>
        <v>0</v>
      </c>
      <c r="AE90" s="643" t="s">
        <v>480</v>
      </c>
      <c r="AF90" s="644"/>
      <c r="AG90" s="239">
        <f>SUM(AG13:AG89)/2</f>
        <v>0</v>
      </c>
      <c r="AH90" s="643" t="s">
        <v>480</v>
      </c>
      <c r="AI90" s="644"/>
      <c r="AJ90" s="239">
        <f>SUM(AJ13:AJ89)/2</f>
        <v>0</v>
      </c>
      <c r="AK90" s="643" t="s">
        <v>480</v>
      </c>
      <c r="AL90" s="644"/>
      <c r="AM90" s="239">
        <f>SUM(AM13:AM89)/2</f>
        <v>0</v>
      </c>
      <c r="AN90" s="643" t="s">
        <v>480</v>
      </c>
      <c r="AO90" s="644"/>
      <c r="AP90" s="239">
        <f>SUM(AP13:AP89)/2</f>
        <v>0</v>
      </c>
      <c r="AQ90" s="643" t="s">
        <v>480</v>
      </c>
      <c r="AR90" s="644"/>
      <c r="AS90" s="239">
        <f>SUM(AS13:AS89)/2</f>
        <v>0</v>
      </c>
      <c r="AT90" s="643" t="s">
        <v>480</v>
      </c>
      <c r="AU90" s="644"/>
      <c r="AV90" s="240">
        <f>SUM(AV13:AV89)/2</f>
        <v>0</v>
      </c>
      <c r="AW90" s="643" t="s">
        <v>480</v>
      </c>
      <c r="AX90" s="644"/>
      <c r="AY90" s="238">
        <f>SUM(AY13:AY89)/2</f>
        <v>0</v>
      </c>
      <c r="AZ90" s="643" t="s">
        <v>480</v>
      </c>
      <c r="BA90" s="644"/>
      <c r="BB90" s="238">
        <f>SUM(BB13:BB89)/2</f>
        <v>90706.390000000014</v>
      </c>
    </row>
    <row r="91" spans="1:54" ht="14.25" customHeight="1" x14ac:dyDescent="0.2">
      <c r="A91" s="5"/>
      <c r="B91" s="5"/>
      <c r="C91" s="5"/>
      <c r="D91" s="6"/>
      <c r="E91" s="6"/>
      <c r="F91" s="246"/>
      <c r="G91" s="6"/>
      <c r="H91" s="6"/>
      <c r="I91" s="6"/>
      <c r="J91" s="6"/>
      <c r="K91" s="6"/>
      <c r="L91" s="6"/>
      <c r="N91" s="6"/>
      <c r="Q91" s="6"/>
      <c r="T91" s="6"/>
      <c r="W91" s="6"/>
      <c r="Z91" s="6"/>
      <c r="AC91" s="6"/>
      <c r="AF91" s="6"/>
      <c r="AI91" s="6"/>
      <c r="AL91" s="6"/>
      <c r="AO91" s="6"/>
      <c r="AR91" s="6"/>
      <c r="AU91" s="6"/>
    </row>
    <row r="92" spans="1:54" ht="14.25" customHeight="1" x14ac:dyDescent="0.2">
      <c r="A92" s="5"/>
      <c r="B92" s="5"/>
      <c r="C92" s="5"/>
      <c r="D92" s="6"/>
      <c r="E92" s="6"/>
      <c r="F92" s="246"/>
      <c r="G92" s="6"/>
      <c r="H92" s="6"/>
      <c r="I92" s="6"/>
      <c r="J92" s="6"/>
      <c r="K92" s="6"/>
      <c r="L92" s="6"/>
      <c r="N92" s="6"/>
      <c r="Q92" s="6"/>
      <c r="T92" s="6"/>
      <c r="W92" s="6"/>
      <c r="Z92" s="6"/>
      <c r="AC92" s="6"/>
      <c r="AF92" s="6"/>
      <c r="AI92" s="6"/>
      <c r="AL92" s="6"/>
      <c r="AO92" s="6"/>
      <c r="AR92" s="6"/>
      <c r="AU92" s="6"/>
    </row>
    <row r="93" spans="1:54" ht="14.25" customHeight="1" x14ac:dyDescent="0.2">
      <c r="A93" s="5"/>
      <c r="B93" s="5"/>
      <c r="C93" s="5"/>
      <c r="D93" s="6"/>
      <c r="E93" s="6"/>
      <c r="F93" s="246"/>
      <c r="G93" s="6"/>
      <c r="H93" s="6"/>
      <c r="I93" s="6"/>
      <c r="J93" s="6"/>
      <c r="K93" s="6"/>
      <c r="L93" s="6"/>
      <c r="N93" s="6"/>
      <c r="Q93" s="6"/>
      <c r="T93" s="6"/>
      <c r="W93" s="6"/>
      <c r="Z93" s="6"/>
      <c r="AC93" s="6"/>
      <c r="AF93" s="6"/>
      <c r="AI93" s="6"/>
      <c r="AL93" s="6"/>
      <c r="AO93" s="6"/>
      <c r="AR93" s="6"/>
      <c r="AU93" s="6"/>
    </row>
    <row r="94" spans="1:54" ht="14.25" customHeight="1" x14ac:dyDescent="0.2">
      <c r="A94" s="5"/>
      <c r="B94" s="5"/>
      <c r="C94" s="5"/>
      <c r="D94" s="6"/>
      <c r="E94" s="6"/>
      <c r="F94" s="246"/>
      <c r="G94" s="6"/>
      <c r="H94" s="6"/>
      <c r="I94" s="6"/>
      <c r="J94" s="6"/>
      <c r="K94" s="6"/>
      <c r="L94" s="6"/>
      <c r="N94" s="6"/>
      <c r="Q94" s="6"/>
      <c r="T94" s="6"/>
      <c r="W94" s="6"/>
      <c r="Z94" s="6"/>
      <c r="AC94" s="6"/>
      <c r="AF94" s="6"/>
      <c r="AI94" s="6"/>
      <c r="AL94" s="6"/>
      <c r="AO94" s="6"/>
      <c r="AR94" s="6"/>
      <c r="AU94" s="6"/>
    </row>
    <row r="95" spans="1:54" ht="14.25" customHeight="1" x14ac:dyDescent="0.2">
      <c r="A95" s="5"/>
      <c r="B95" s="5"/>
      <c r="C95" s="5"/>
      <c r="D95" s="6"/>
      <c r="E95" s="6"/>
      <c r="F95" s="246"/>
      <c r="G95" s="6"/>
      <c r="H95" s="6"/>
      <c r="I95" s="6"/>
      <c r="J95" s="6"/>
      <c r="K95" s="6"/>
      <c r="L95" s="6"/>
      <c r="N95" s="6"/>
      <c r="Q95" s="6"/>
      <c r="T95" s="6"/>
      <c r="W95" s="6"/>
      <c r="Z95" s="6"/>
      <c r="AC95" s="6"/>
      <c r="AF95" s="6"/>
      <c r="AI95" s="6"/>
      <c r="AL95" s="6"/>
      <c r="AO95" s="6"/>
      <c r="AR95" s="6"/>
      <c r="AU95" s="6"/>
    </row>
    <row r="96" spans="1:54" ht="14.25" customHeight="1" x14ac:dyDescent="0.2">
      <c r="A96" s="5"/>
      <c r="B96" s="5"/>
      <c r="C96" s="5"/>
      <c r="D96" s="6"/>
      <c r="E96" s="6"/>
      <c r="F96" s="246"/>
      <c r="G96" s="6"/>
      <c r="H96" s="6"/>
      <c r="I96" s="6"/>
      <c r="J96" s="6"/>
      <c r="K96" s="6"/>
      <c r="L96" s="6"/>
      <c r="N96" s="6"/>
      <c r="Q96" s="6"/>
      <c r="T96" s="6"/>
      <c r="W96" s="6"/>
      <c r="Z96" s="6"/>
      <c r="AC96" s="6"/>
      <c r="AF96" s="6"/>
      <c r="AI96" s="6"/>
      <c r="AL96" s="6"/>
      <c r="AO96" s="6"/>
      <c r="AR96" s="6"/>
      <c r="AU96" s="6"/>
    </row>
    <row r="97" spans="1:1" ht="14.25" customHeight="1" x14ac:dyDescent="0.2">
      <c r="A97" s="5"/>
    </row>
    <row r="98" spans="1:1" ht="14.25" customHeight="1" x14ac:dyDescent="0.2">
      <c r="A98" s="5"/>
    </row>
    <row r="99" spans="1:1" ht="14.25" customHeight="1" x14ac:dyDescent="0.2">
      <c r="A99" s="5"/>
    </row>
    <row r="100" spans="1:1" ht="14.25" customHeight="1" x14ac:dyDescent="0.2">
      <c r="A100" s="5"/>
    </row>
    <row r="101" spans="1:1" ht="14.25" customHeight="1" x14ac:dyDescent="0.2">
      <c r="A101" s="5"/>
    </row>
    <row r="102" spans="1:1" ht="14.25" customHeight="1" x14ac:dyDescent="0.2">
      <c r="A102" s="5"/>
    </row>
    <row r="103" spans="1:1" ht="14.25" customHeight="1" x14ac:dyDescent="0.2">
      <c r="A103" s="5"/>
    </row>
    <row r="104" spans="1:1" ht="14.25" customHeight="1" x14ac:dyDescent="0.2">
      <c r="A104" s="5"/>
    </row>
    <row r="105" spans="1:1" ht="14.25" customHeight="1" x14ac:dyDescent="0.2">
      <c r="A105" s="5"/>
    </row>
    <row r="106" spans="1:1" ht="14.25" customHeight="1" x14ac:dyDescent="0.2">
      <c r="A106" s="5"/>
    </row>
    <row r="107" spans="1:1" ht="14.25" customHeight="1" x14ac:dyDescent="0.2">
      <c r="A107" s="5"/>
    </row>
    <row r="108" spans="1:1" ht="14.25" customHeight="1" x14ac:dyDescent="0.2">
      <c r="A108" s="5"/>
    </row>
    <row r="109" spans="1:1" ht="14.25" customHeight="1" x14ac:dyDescent="0.2">
      <c r="A109" s="5"/>
    </row>
    <row r="110" spans="1:1" ht="14.25" customHeight="1" x14ac:dyDescent="0.2">
      <c r="A110" s="5"/>
    </row>
    <row r="111" spans="1:1" ht="14.25" customHeight="1" x14ac:dyDescent="0.2">
      <c r="A111" s="5"/>
    </row>
    <row r="112" spans="1:1" ht="14.25" customHeight="1" x14ac:dyDescent="0.2">
      <c r="A112" s="5"/>
    </row>
    <row r="113" spans="1:1" ht="14.25" customHeight="1" x14ac:dyDescent="0.2">
      <c r="A113" s="5"/>
    </row>
    <row r="114" spans="1:1" ht="14.25" customHeight="1" x14ac:dyDescent="0.2">
      <c r="A114" s="5"/>
    </row>
    <row r="115" spans="1:1" ht="14.25" customHeight="1" x14ac:dyDescent="0.2">
      <c r="A115" s="5"/>
    </row>
    <row r="116" spans="1:1" ht="14.25" customHeight="1" x14ac:dyDescent="0.2">
      <c r="A116" s="5"/>
    </row>
    <row r="117" spans="1:1" ht="14.25" customHeight="1" x14ac:dyDescent="0.2">
      <c r="A117" s="5"/>
    </row>
    <row r="118" spans="1:1" ht="14.25" customHeight="1" x14ac:dyDescent="0.2">
      <c r="A118" s="5"/>
    </row>
    <row r="119" spans="1:1" ht="14.25" customHeight="1" x14ac:dyDescent="0.2">
      <c r="A119" s="5"/>
    </row>
    <row r="120" spans="1:1" ht="14.25" customHeight="1" x14ac:dyDescent="0.2">
      <c r="A120" s="5"/>
    </row>
    <row r="121" spans="1:1" ht="14.25" customHeight="1" x14ac:dyDescent="0.2">
      <c r="A121" s="5"/>
    </row>
    <row r="122" spans="1:1" ht="14.25" customHeight="1" x14ac:dyDescent="0.2">
      <c r="A122" s="5"/>
    </row>
    <row r="123" spans="1:1" ht="14.25" customHeight="1" x14ac:dyDescent="0.2">
      <c r="A123" s="5"/>
    </row>
    <row r="124" spans="1:1" ht="14.25" customHeight="1" x14ac:dyDescent="0.2">
      <c r="A124" s="5"/>
    </row>
    <row r="125" spans="1:1" ht="14.25" customHeight="1" x14ac:dyDescent="0.2">
      <c r="A125" s="5"/>
    </row>
    <row r="126" spans="1:1" ht="14.25" customHeight="1" x14ac:dyDescent="0.2">
      <c r="A126" s="5"/>
    </row>
    <row r="127" spans="1:1" ht="14.25" customHeight="1" x14ac:dyDescent="0.2">
      <c r="A127" s="5"/>
    </row>
    <row r="128" spans="1:1" ht="14.25" customHeight="1" x14ac:dyDescent="0.2">
      <c r="A128" s="5"/>
    </row>
    <row r="129" spans="1:1" ht="14.25" customHeight="1" x14ac:dyDescent="0.2">
      <c r="A129" s="5"/>
    </row>
    <row r="130" spans="1:1" ht="14.25" customHeight="1" x14ac:dyDescent="0.2">
      <c r="A130" s="5"/>
    </row>
    <row r="131" spans="1:1" ht="14.25" customHeight="1" x14ac:dyDescent="0.2">
      <c r="A131" s="5"/>
    </row>
    <row r="132" spans="1:1" ht="14.25" customHeight="1" x14ac:dyDescent="0.2">
      <c r="A132" s="5"/>
    </row>
    <row r="133" spans="1:1" ht="14.25" customHeight="1" x14ac:dyDescent="0.2">
      <c r="A133" s="5"/>
    </row>
    <row r="134" spans="1:1" ht="14.25" customHeight="1" x14ac:dyDescent="0.2">
      <c r="A134" s="5"/>
    </row>
    <row r="135" spans="1:1" ht="14.25" customHeight="1" x14ac:dyDescent="0.2">
      <c r="A135" s="5"/>
    </row>
    <row r="136" spans="1:1" ht="14.25" customHeight="1" x14ac:dyDescent="0.2">
      <c r="A136" s="5"/>
    </row>
    <row r="137" spans="1:1" ht="14.25" customHeight="1" x14ac:dyDescent="0.2">
      <c r="A137" s="5"/>
    </row>
    <row r="138" spans="1:1" ht="14.25" customHeight="1" x14ac:dyDescent="0.2">
      <c r="A138" s="5"/>
    </row>
    <row r="139" spans="1:1" ht="14.25" customHeight="1" x14ac:dyDescent="0.2">
      <c r="A139" s="5"/>
    </row>
    <row r="140" spans="1:1" ht="14.25" customHeight="1" x14ac:dyDescent="0.2">
      <c r="A140" s="5"/>
    </row>
    <row r="141" spans="1:1" ht="14.25" customHeight="1" x14ac:dyDescent="0.2">
      <c r="A141" s="5"/>
    </row>
    <row r="142" spans="1:1" ht="14.25" customHeight="1" x14ac:dyDescent="0.2">
      <c r="A142" s="5"/>
    </row>
    <row r="143" spans="1:1" ht="14.25" customHeight="1" x14ac:dyDescent="0.2">
      <c r="A143" s="5"/>
    </row>
    <row r="144" spans="1:1" ht="14.25" customHeight="1" x14ac:dyDescent="0.2">
      <c r="A144" s="5"/>
    </row>
    <row r="145" spans="1:1" ht="14.25" customHeight="1" x14ac:dyDescent="0.2">
      <c r="A145" s="5"/>
    </row>
    <row r="146" spans="1:1" ht="14.25" customHeight="1" x14ac:dyDescent="0.2">
      <c r="A146" s="5"/>
    </row>
    <row r="147" spans="1:1" ht="14.25" customHeight="1" x14ac:dyDescent="0.2">
      <c r="A147" s="5"/>
    </row>
    <row r="148" spans="1:1" ht="14.25" customHeight="1" x14ac:dyDescent="0.2">
      <c r="A148" s="5"/>
    </row>
    <row r="149" spans="1:1" ht="14.25" customHeight="1" x14ac:dyDescent="0.2">
      <c r="A149" s="5"/>
    </row>
    <row r="150" spans="1:1" ht="14.25" customHeight="1" x14ac:dyDescent="0.2">
      <c r="A150" s="5"/>
    </row>
    <row r="151" spans="1:1" ht="14.25" customHeight="1" x14ac:dyDescent="0.2">
      <c r="A151" s="5"/>
    </row>
    <row r="152" spans="1:1" ht="14.25" customHeight="1" x14ac:dyDescent="0.2">
      <c r="A152" s="5"/>
    </row>
    <row r="153" spans="1:1" ht="14.25" customHeight="1" x14ac:dyDescent="0.2">
      <c r="A153" s="5"/>
    </row>
    <row r="154" spans="1:1" ht="14.25" customHeight="1" x14ac:dyDescent="0.2">
      <c r="A154" s="5"/>
    </row>
    <row r="155" spans="1:1" ht="14.25" customHeight="1" x14ac:dyDescent="0.2">
      <c r="A155" s="5"/>
    </row>
    <row r="156" spans="1:1" ht="14.25" customHeight="1" x14ac:dyDescent="0.2">
      <c r="A156" s="5"/>
    </row>
    <row r="157" spans="1:1" ht="14.25" customHeight="1" x14ac:dyDescent="0.2">
      <c r="A157" s="5"/>
    </row>
    <row r="158" spans="1:1" ht="14.25" customHeight="1" x14ac:dyDescent="0.2">
      <c r="A158" s="5"/>
    </row>
    <row r="159" spans="1:1" ht="14.25" customHeight="1" x14ac:dyDescent="0.2">
      <c r="A159" s="5"/>
    </row>
    <row r="160" spans="1:1" ht="14.25" customHeight="1" x14ac:dyDescent="0.2">
      <c r="A160" s="5"/>
    </row>
    <row r="161" spans="1:1" ht="14.25" customHeight="1" x14ac:dyDescent="0.2">
      <c r="A161" s="5"/>
    </row>
    <row r="162" spans="1:1" ht="14.25" customHeight="1" x14ac:dyDescent="0.2">
      <c r="A162" s="5"/>
    </row>
    <row r="163" spans="1:1" ht="14.25" customHeight="1" x14ac:dyDescent="0.2">
      <c r="A163" s="5"/>
    </row>
    <row r="164" spans="1:1" ht="14.25" customHeight="1" x14ac:dyDescent="0.2">
      <c r="A164" s="5"/>
    </row>
    <row r="165" spans="1:1" ht="14.25" customHeight="1" x14ac:dyDescent="0.2">
      <c r="A165" s="5"/>
    </row>
    <row r="166" spans="1:1" ht="14.25" customHeight="1" x14ac:dyDescent="0.2">
      <c r="A166" s="5"/>
    </row>
    <row r="167" spans="1:1" ht="14.25" customHeight="1" x14ac:dyDescent="0.2">
      <c r="A167" s="5"/>
    </row>
    <row r="168" spans="1:1" ht="14.25" customHeight="1" x14ac:dyDescent="0.2">
      <c r="A168" s="5"/>
    </row>
    <row r="169" spans="1:1" ht="14.25" customHeight="1" x14ac:dyDescent="0.2">
      <c r="A169" s="5"/>
    </row>
    <row r="170" spans="1:1" ht="14.25" customHeight="1" x14ac:dyDescent="0.2">
      <c r="A170" s="5"/>
    </row>
    <row r="171" spans="1:1" ht="14.25" customHeight="1" x14ac:dyDescent="0.2">
      <c r="A171" s="5"/>
    </row>
    <row r="172" spans="1:1" ht="14.25" customHeight="1" x14ac:dyDescent="0.2">
      <c r="A172" s="5"/>
    </row>
    <row r="173" spans="1:1" ht="14.25" customHeight="1" x14ac:dyDescent="0.2">
      <c r="A173" s="5"/>
    </row>
    <row r="174" spans="1:1" ht="14.25" customHeight="1" x14ac:dyDescent="0.2">
      <c r="A174" s="5"/>
    </row>
    <row r="175" spans="1:1" ht="14.25" customHeight="1" x14ac:dyDescent="0.2">
      <c r="A175" s="5"/>
    </row>
    <row r="176" spans="1:1" ht="14.25" customHeight="1" x14ac:dyDescent="0.2">
      <c r="A176" s="5"/>
    </row>
    <row r="177" spans="1:1" ht="14.25" customHeight="1" x14ac:dyDescent="0.2">
      <c r="A177" s="5"/>
    </row>
    <row r="178" spans="1:1" ht="14.25" customHeight="1" x14ac:dyDescent="0.2">
      <c r="A178" s="5"/>
    </row>
    <row r="179" spans="1:1" ht="14.25" customHeight="1" x14ac:dyDescent="0.2">
      <c r="A179" s="5"/>
    </row>
    <row r="180" spans="1:1" ht="14.25" customHeight="1" x14ac:dyDescent="0.2">
      <c r="A180" s="5"/>
    </row>
    <row r="181" spans="1:1" ht="14.25" customHeight="1" x14ac:dyDescent="0.2">
      <c r="A181" s="5"/>
    </row>
    <row r="182" spans="1:1" ht="14.25" customHeight="1" x14ac:dyDescent="0.2">
      <c r="A182" s="5"/>
    </row>
    <row r="183" spans="1:1" ht="14.25" customHeight="1" x14ac:dyDescent="0.2">
      <c r="A183" s="5"/>
    </row>
    <row r="184" spans="1:1" ht="14.25" customHeight="1" x14ac:dyDescent="0.2">
      <c r="A184" s="5"/>
    </row>
    <row r="185" spans="1:1" ht="14.25" customHeight="1" x14ac:dyDescent="0.2">
      <c r="A185" s="5"/>
    </row>
    <row r="186" spans="1:1" ht="14.25" customHeight="1" x14ac:dyDescent="0.2">
      <c r="A186" s="5"/>
    </row>
    <row r="187" spans="1:1" ht="14.25" customHeight="1" x14ac:dyDescent="0.2">
      <c r="A187" s="5"/>
    </row>
    <row r="188" spans="1:1" ht="14.25" customHeight="1" x14ac:dyDescent="0.2">
      <c r="A188" s="5"/>
    </row>
    <row r="189" spans="1:1" ht="14.25" customHeight="1" x14ac:dyDescent="0.2">
      <c r="A189" s="5"/>
    </row>
    <row r="190" spans="1:1" ht="14.25" customHeight="1" x14ac:dyDescent="0.2">
      <c r="A190" s="5"/>
    </row>
    <row r="191" spans="1:1" ht="14.25" customHeight="1" x14ac:dyDescent="0.2">
      <c r="A191" s="5"/>
    </row>
    <row r="192" spans="1:1" ht="14.25" customHeight="1" x14ac:dyDescent="0.2">
      <c r="A192" s="5"/>
    </row>
    <row r="193" spans="1:1" ht="14.25" customHeight="1" x14ac:dyDescent="0.2">
      <c r="A193" s="5"/>
    </row>
    <row r="194" spans="1:1" ht="14.25" customHeight="1" x14ac:dyDescent="0.2">
      <c r="A194" s="5"/>
    </row>
    <row r="195" spans="1:1" ht="14.25" customHeight="1" x14ac:dyDescent="0.2">
      <c r="A195" s="5"/>
    </row>
    <row r="196" spans="1:1" ht="14.25" customHeight="1" x14ac:dyDescent="0.2">
      <c r="A196" s="5"/>
    </row>
    <row r="197" spans="1:1" ht="14.25" customHeight="1" x14ac:dyDescent="0.2">
      <c r="A197" s="5"/>
    </row>
    <row r="198" spans="1:1" ht="14.25" customHeight="1" x14ac:dyDescent="0.2">
      <c r="A198" s="5"/>
    </row>
    <row r="199" spans="1:1" ht="14.25" customHeight="1" x14ac:dyDescent="0.2">
      <c r="A199" s="5"/>
    </row>
    <row r="200" spans="1:1" ht="14.25" customHeight="1" x14ac:dyDescent="0.2">
      <c r="A200" s="5"/>
    </row>
    <row r="201" spans="1:1" ht="14.25" customHeight="1" x14ac:dyDescent="0.2">
      <c r="A201" s="5"/>
    </row>
    <row r="202" spans="1:1" ht="14.25" customHeight="1" x14ac:dyDescent="0.2">
      <c r="A202" s="5"/>
    </row>
    <row r="203" spans="1:1" ht="14.25" customHeight="1" x14ac:dyDescent="0.2">
      <c r="A203" s="5"/>
    </row>
    <row r="204" spans="1:1" ht="14.25" customHeight="1" x14ac:dyDescent="0.2">
      <c r="A204" s="5"/>
    </row>
    <row r="205" spans="1:1" ht="14.25" customHeight="1" x14ac:dyDescent="0.2">
      <c r="A205" s="5"/>
    </row>
    <row r="206" spans="1:1" ht="14.25" customHeight="1" x14ac:dyDescent="0.2">
      <c r="A206" s="5"/>
    </row>
    <row r="207" spans="1:1" ht="14.25" customHeight="1" x14ac:dyDescent="0.2">
      <c r="A207" s="5"/>
    </row>
    <row r="208" spans="1:1" ht="14.25" customHeight="1" x14ac:dyDescent="0.2">
      <c r="A208" s="5"/>
    </row>
    <row r="209" spans="1:1" ht="14.25" customHeight="1" x14ac:dyDescent="0.2">
      <c r="A209" s="5"/>
    </row>
    <row r="210" spans="1:1" ht="14.25" customHeight="1" x14ac:dyDescent="0.2">
      <c r="A210" s="5"/>
    </row>
    <row r="211" spans="1:1" ht="14.25" customHeight="1" x14ac:dyDescent="0.2">
      <c r="A211" s="5"/>
    </row>
    <row r="212" spans="1:1" ht="14.25" customHeight="1" x14ac:dyDescent="0.2">
      <c r="A212" s="5"/>
    </row>
    <row r="213" spans="1:1" ht="14.25" customHeight="1" x14ac:dyDescent="0.2">
      <c r="A213" s="5"/>
    </row>
    <row r="214" spans="1:1" ht="14.25" customHeight="1" x14ac:dyDescent="0.2">
      <c r="A214" s="5"/>
    </row>
    <row r="215" spans="1:1" ht="14.25" customHeight="1" x14ac:dyDescent="0.2">
      <c r="A215" s="5"/>
    </row>
    <row r="216" spans="1:1" ht="14.25" customHeight="1" x14ac:dyDescent="0.2">
      <c r="A216" s="5"/>
    </row>
    <row r="217" spans="1:1" ht="14.25" customHeight="1" x14ac:dyDescent="0.2">
      <c r="A217" s="5"/>
    </row>
    <row r="218" spans="1:1" ht="14.25" customHeight="1" x14ac:dyDescent="0.2">
      <c r="A218" s="5"/>
    </row>
    <row r="219" spans="1:1" ht="14.25" customHeight="1" x14ac:dyDescent="0.2">
      <c r="A219" s="5"/>
    </row>
    <row r="220" spans="1:1" ht="14.25" customHeight="1" x14ac:dyDescent="0.2">
      <c r="A220" s="5"/>
    </row>
    <row r="221" spans="1:1" ht="14.25" customHeight="1" x14ac:dyDescent="0.2">
      <c r="A221" s="5"/>
    </row>
    <row r="222" spans="1:1" ht="14.25" customHeight="1" x14ac:dyDescent="0.2">
      <c r="A222" s="5"/>
    </row>
    <row r="223" spans="1:1" ht="14.25" customHeight="1" x14ac:dyDescent="0.2">
      <c r="A223" s="5"/>
    </row>
    <row r="224" spans="1:1" ht="14.25" customHeight="1" x14ac:dyDescent="0.2">
      <c r="A224" s="5"/>
    </row>
    <row r="225" spans="1:1" ht="14.25" customHeight="1" x14ac:dyDescent="0.2">
      <c r="A225" s="5"/>
    </row>
    <row r="226" spans="1:1" ht="14.25" customHeight="1" x14ac:dyDescent="0.2">
      <c r="A226" s="5"/>
    </row>
    <row r="227" spans="1:1" ht="14.25" customHeight="1" x14ac:dyDescent="0.2">
      <c r="A227" s="5"/>
    </row>
    <row r="228" spans="1:1" ht="14.25" customHeight="1" x14ac:dyDescent="0.2">
      <c r="A228" s="5"/>
    </row>
    <row r="229" spans="1:1" ht="14.25" customHeight="1" x14ac:dyDescent="0.2">
      <c r="A229" s="5"/>
    </row>
    <row r="230" spans="1:1" ht="14.25" customHeight="1" x14ac:dyDescent="0.2">
      <c r="A230" s="5"/>
    </row>
    <row r="231" spans="1:1" ht="14.25" customHeight="1" x14ac:dyDescent="0.2">
      <c r="A231" s="5"/>
    </row>
    <row r="232" spans="1:1" ht="14.25" customHeight="1" x14ac:dyDescent="0.2">
      <c r="A232" s="5"/>
    </row>
    <row r="233" spans="1:1" ht="14.25" customHeight="1" x14ac:dyDescent="0.2">
      <c r="A233" s="5"/>
    </row>
    <row r="234" spans="1:1" ht="14.25" customHeight="1" x14ac:dyDescent="0.2">
      <c r="A234" s="5"/>
    </row>
    <row r="235" spans="1:1" ht="14.25" customHeight="1" x14ac:dyDescent="0.2">
      <c r="A235" s="5"/>
    </row>
    <row r="236" spans="1:1" ht="14.25" customHeight="1" x14ac:dyDescent="0.2">
      <c r="A236" s="5"/>
    </row>
    <row r="237" spans="1:1" ht="14.25" customHeight="1" x14ac:dyDescent="0.2">
      <c r="A237" s="5"/>
    </row>
    <row r="238" spans="1:1" ht="14.25" customHeight="1" x14ac:dyDescent="0.2">
      <c r="A238" s="5"/>
    </row>
    <row r="239" spans="1:1" ht="14.25" customHeight="1" x14ac:dyDescent="0.2">
      <c r="A239" s="5"/>
    </row>
    <row r="240" spans="1:1" ht="14.25" customHeight="1" x14ac:dyDescent="0.2">
      <c r="A240" s="5"/>
    </row>
    <row r="241" spans="1:1" ht="14.25" customHeight="1" x14ac:dyDescent="0.2">
      <c r="A241" s="5"/>
    </row>
    <row r="242" spans="1:1" ht="14.25" customHeight="1" x14ac:dyDescent="0.2">
      <c r="A242" s="5"/>
    </row>
    <row r="243" spans="1:1" ht="14.25" customHeight="1" x14ac:dyDescent="0.2">
      <c r="A243" s="5"/>
    </row>
    <row r="244" spans="1:1" ht="14.25" customHeight="1" x14ac:dyDescent="0.2">
      <c r="A244" s="5"/>
    </row>
    <row r="245" spans="1:1" ht="14.25" customHeight="1" x14ac:dyDescent="0.2">
      <c r="A245" s="5"/>
    </row>
    <row r="246" spans="1:1" ht="14.25" customHeight="1" x14ac:dyDescent="0.2">
      <c r="A246" s="5"/>
    </row>
    <row r="247" spans="1:1" ht="14.25" customHeight="1" x14ac:dyDescent="0.2">
      <c r="A247" s="5"/>
    </row>
    <row r="248" spans="1:1" ht="14.25" customHeight="1" x14ac:dyDescent="0.2">
      <c r="A248" s="5"/>
    </row>
    <row r="249" spans="1:1" ht="14.25" customHeight="1" x14ac:dyDescent="0.2">
      <c r="A249" s="5"/>
    </row>
    <row r="250" spans="1:1" ht="14.25" customHeight="1" x14ac:dyDescent="0.2">
      <c r="A250" s="5"/>
    </row>
    <row r="251" spans="1:1" ht="14.25" customHeight="1" x14ac:dyDescent="0.2">
      <c r="A251" s="5"/>
    </row>
    <row r="252" spans="1:1" ht="14.25" customHeight="1" x14ac:dyDescent="0.2">
      <c r="A252" s="5"/>
    </row>
    <row r="253" spans="1:1" ht="14.25" customHeight="1" x14ac:dyDescent="0.2">
      <c r="A253" s="5"/>
    </row>
    <row r="254" spans="1:1" ht="14.25" customHeight="1" x14ac:dyDescent="0.2">
      <c r="A254" s="5"/>
    </row>
    <row r="255" spans="1:1" ht="14.25" customHeight="1" x14ac:dyDescent="0.2">
      <c r="A255" s="5"/>
    </row>
    <row r="256" spans="1:1" ht="14.25" customHeight="1" x14ac:dyDescent="0.2">
      <c r="A256" s="5"/>
    </row>
    <row r="257" spans="1:1" ht="14.25" customHeight="1" x14ac:dyDescent="0.2">
      <c r="A257" s="5"/>
    </row>
    <row r="258" spans="1:1" ht="14.25" customHeight="1" x14ac:dyDescent="0.2">
      <c r="A258" s="5"/>
    </row>
    <row r="259" spans="1:1" ht="14.25" customHeight="1" x14ac:dyDescent="0.2">
      <c r="A259" s="5"/>
    </row>
    <row r="260" spans="1:1" ht="14.25" customHeight="1" x14ac:dyDescent="0.2">
      <c r="A260" s="5"/>
    </row>
    <row r="261" spans="1:1" ht="14.25" customHeight="1" x14ac:dyDescent="0.2">
      <c r="A261" s="5"/>
    </row>
    <row r="262" spans="1:1" ht="14.25" customHeight="1" x14ac:dyDescent="0.2">
      <c r="A262" s="5"/>
    </row>
    <row r="263" spans="1:1" ht="14.25" customHeight="1" x14ac:dyDescent="0.2">
      <c r="A263" s="5"/>
    </row>
    <row r="264" spans="1:1" ht="14.25" customHeight="1" x14ac:dyDescent="0.2">
      <c r="A264" s="5"/>
    </row>
    <row r="265" spans="1:1" ht="14.25" customHeight="1" x14ac:dyDescent="0.2">
      <c r="A265" s="5"/>
    </row>
    <row r="266" spans="1:1" ht="14.25" customHeight="1" x14ac:dyDescent="0.2">
      <c r="A266" s="5"/>
    </row>
    <row r="267" spans="1:1" ht="14.25" customHeight="1" x14ac:dyDescent="0.2">
      <c r="A267" s="5"/>
    </row>
    <row r="268" spans="1:1" ht="14.25" customHeight="1" x14ac:dyDescent="0.2">
      <c r="A268" s="5"/>
    </row>
    <row r="269" spans="1:1" ht="14.25" customHeight="1" x14ac:dyDescent="0.2">
      <c r="A269" s="5"/>
    </row>
    <row r="270" spans="1:1" ht="14.25" customHeight="1" x14ac:dyDescent="0.2">
      <c r="A270" s="5"/>
    </row>
    <row r="271" spans="1:1" ht="14.25" customHeight="1" x14ac:dyDescent="0.2">
      <c r="A271" s="5"/>
    </row>
    <row r="272" spans="1:1" ht="14.25" customHeight="1" x14ac:dyDescent="0.2">
      <c r="A272" s="5"/>
    </row>
    <row r="273" spans="1:1" ht="14.25" customHeight="1" x14ac:dyDescent="0.2">
      <c r="A273" s="5"/>
    </row>
    <row r="274" spans="1:1" ht="14.25" customHeight="1" x14ac:dyDescent="0.2">
      <c r="A274" s="5"/>
    </row>
    <row r="275" spans="1:1" ht="14.25" customHeight="1" x14ac:dyDescent="0.2">
      <c r="A275" s="5"/>
    </row>
    <row r="276" spans="1:1" ht="14.25" customHeight="1" x14ac:dyDescent="0.2">
      <c r="A276" s="5"/>
    </row>
    <row r="277" spans="1:1" ht="14.25" customHeight="1" x14ac:dyDescent="0.2">
      <c r="A277" s="5"/>
    </row>
    <row r="278" spans="1:1" ht="14.25" customHeight="1" x14ac:dyDescent="0.2">
      <c r="A278" s="5"/>
    </row>
    <row r="279" spans="1:1" ht="14.25" customHeight="1" x14ac:dyDescent="0.2">
      <c r="A279" s="5"/>
    </row>
    <row r="280" spans="1:1" ht="14.25" customHeight="1" x14ac:dyDescent="0.2">
      <c r="A280" s="5"/>
    </row>
    <row r="281" spans="1:1" ht="14.25" customHeight="1" x14ac:dyDescent="0.2">
      <c r="A281" s="5"/>
    </row>
    <row r="282" spans="1:1" ht="14.25" customHeight="1" x14ac:dyDescent="0.2">
      <c r="A282" s="5"/>
    </row>
    <row r="283" spans="1:1" ht="14.25" customHeight="1" x14ac:dyDescent="0.2">
      <c r="A283" s="5"/>
    </row>
    <row r="284" spans="1:1" ht="14.25" customHeight="1" x14ac:dyDescent="0.2">
      <c r="A284" s="5"/>
    </row>
    <row r="285" spans="1:1" ht="14.25" customHeight="1" x14ac:dyDescent="0.2">
      <c r="A285" s="5"/>
    </row>
    <row r="286" spans="1:1" ht="14.25" customHeight="1" x14ac:dyDescent="0.2">
      <c r="A286" s="5"/>
    </row>
    <row r="287" spans="1:1" ht="14.25" customHeight="1" x14ac:dyDescent="0.2">
      <c r="A287" s="5"/>
    </row>
    <row r="288" spans="1:1" ht="14.25" customHeight="1" x14ac:dyDescent="0.2">
      <c r="A288" s="5"/>
    </row>
    <row r="289" spans="1:1" ht="14.25" customHeight="1" x14ac:dyDescent="0.2">
      <c r="A289" s="5"/>
    </row>
    <row r="290" spans="1:1" ht="14.25" customHeight="1" x14ac:dyDescent="0.2">
      <c r="A290" s="5"/>
    </row>
    <row r="291" spans="1:1" ht="14.25" customHeight="1" x14ac:dyDescent="0.2">
      <c r="A291" s="5"/>
    </row>
    <row r="292" spans="1:1" ht="14.25" customHeight="1" x14ac:dyDescent="0.2">
      <c r="A292" s="5"/>
    </row>
    <row r="293" spans="1:1" ht="14.25" customHeight="1" x14ac:dyDescent="0.2">
      <c r="A293" s="5"/>
    </row>
    <row r="294" spans="1:1" ht="14.25" customHeight="1" x14ac:dyDescent="0.2">
      <c r="A294" s="5"/>
    </row>
    <row r="295" spans="1:1" ht="14.25" customHeight="1" x14ac:dyDescent="0.2">
      <c r="A295" s="5"/>
    </row>
    <row r="296" spans="1:1" ht="14.25" customHeight="1" x14ac:dyDescent="0.2">
      <c r="A296" s="5"/>
    </row>
    <row r="297" spans="1:1" ht="14.25" customHeight="1" x14ac:dyDescent="0.2">
      <c r="A297" s="5"/>
    </row>
    <row r="298" spans="1:1" ht="14.25" customHeight="1" x14ac:dyDescent="0.2">
      <c r="A298" s="5"/>
    </row>
    <row r="299" spans="1:1" ht="14.25" customHeight="1" x14ac:dyDescent="0.2">
      <c r="A299" s="5"/>
    </row>
    <row r="300" spans="1:1" ht="14.25" customHeight="1" x14ac:dyDescent="0.2">
      <c r="A300" s="5"/>
    </row>
    <row r="301" spans="1:1" ht="14.25" customHeight="1" x14ac:dyDescent="0.2">
      <c r="A301" s="5"/>
    </row>
    <row r="302" spans="1:1" ht="14.25" customHeight="1" x14ac:dyDescent="0.2">
      <c r="A302" s="5"/>
    </row>
    <row r="303" spans="1:1" ht="14.25" customHeight="1" x14ac:dyDescent="0.2">
      <c r="A303" s="5"/>
    </row>
    <row r="304" spans="1:1" ht="14.25" customHeight="1" x14ac:dyDescent="0.2">
      <c r="A304" s="5"/>
    </row>
    <row r="305" spans="1:1" ht="14.25" customHeight="1" x14ac:dyDescent="0.2">
      <c r="A305" s="5"/>
    </row>
    <row r="306" spans="1:1" ht="14.25" customHeight="1" x14ac:dyDescent="0.2">
      <c r="A306" s="5"/>
    </row>
    <row r="307" spans="1:1" ht="14.25" customHeight="1" x14ac:dyDescent="0.2">
      <c r="A307" s="5"/>
    </row>
    <row r="308" spans="1:1" ht="14.25" customHeight="1" x14ac:dyDescent="0.2">
      <c r="A308" s="5"/>
    </row>
    <row r="309" spans="1:1" ht="14.25" customHeight="1" x14ac:dyDescent="0.2">
      <c r="A309" s="5"/>
    </row>
    <row r="310" spans="1:1" ht="14.25" customHeight="1" x14ac:dyDescent="0.2">
      <c r="A310" s="5"/>
    </row>
    <row r="311" spans="1:1" ht="14.25" customHeight="1" x14ac:dyDescent="0.2">
      <c r="A311" s="5"/>
    </row>
    <row r="312" spans="1:1" ht="14.25" customHeight="1" x14ac:dyDescent="0.2">
      <c r="A312" s="5"/>
    </row>
    <row r="313" spans="1:1" ht="14.25" customHeight="1" x14ac:dyDescent="0.2">
      <c r="A313" s="5"/>
    </row>
    <row r="314" spans="1:1" ht="14.25" customHeight="1" x14ac:dyDescent="0.2">
      <c r="A314" s="5"/>
    </row>
    <row r="315" spans="1:1" ht="14.25" customHeight="1" x14ac:dyDescent="0.2">
      <c r="A315" s="5"/>
    </row>
    <row r="316" spans="1:1" ht="14.25" customHeight="1" x14ac:dyDescent="0.2">
      <c r="A316" s="5"/>
    </row>
    <row r="317" spans="1:1" ht="14.25" customHeight="1" x14ac:dyDescent="0.2">
      <c r="A317" s="5"/>
    </row>
    <row r="318" spans="1:1" ht="14.25" customHeight="1" x14ac:dyDescent="0.2">
      <c r="A318" s="5"/>
    </row>
    <row r="319" spans="1:1" ht="14.25" customHeight="1" x14ac:dyDescent="0.2">
      <c r="A319" s="5"/>
    </row>
    <row r="320" spans="1:1" ht="14.25" customHeight="1" x14ac:dyDescent="0.2">
      <c r="A320" s="5"/>
    </row>
    <row r="321" spans="1:1" ht="14.25" customHeight="1" x14ac:dyDescent="0.2">
      <c r="A321" s="5"/>
    </row>
    <row r="322" spans="1:1" ht="14.25" customHeight="1" x14ac:dyDescent="0.2">
      <c r="A322" s="5"/>
    </row>
    <row r="323" spans="1:1" ht="14.25" customHeight="1" x14ac:dyDescent="0.2">
      <c r="A323" s="5"/>
    </row>
    <row r="324" spans="1:1" ht="14.25" customHeight="1" x14ac:dyDescent="0.2">
      <c r="A324" s="5"/>
    </row>
    <row r="325" spans="1:1" ht="14.25" customHeight="1" x14ac:dyDescent="0.2">
      <c r="A325" s="5"/>
    </row>
    <row r="326" spans="1:1" ht="14.25" customHeight="1" x14ac:dyDescent="0.2">
      <c r="A326" s="5"/>
    </row>
    <row r="327" spans="1:1" ht="14.25" customHeight="1" x14ac:dyDescent="0.2">
      <c r="A327" s="5"/>
    </row>
    <row r="328" spans="1:1" ht="14.25" customHeight="1" x14ac:dyDescent="0.2">
      <c r="A328" s="5"/>
    </row>
    <row r="329" spans="1:1" ht="14.25" customHeight="1" x14ac:dyDescent="0.2">
      <c r="A329" s="5"/>
    </row>
    <row r="330" spans="1:1" ht="14.25" customHeight="1" x14ac:dyDescent="0.2">
      <c r="A330" s="5"/>
    </row>
    <row r="331" spans="1:1" ht="14.25" customHeight="1" x14ac:dyDescent="0.2">
      <c r="A331" s="5"/>
    </row>
    <row r="332" spans="1:1" ht="14.25" customHeight="1" x14ac:dyDescent="0.2">
      <c r="A332" s="5"/>
    </row>
    <row r="333" spans="1:1" ht="14.25" customHeight="1" x14ac:dyDescent="0.2">
      <c r="A333" s="5"/>
    </row>
    <row r="334" spans="1:1" ht="14.25" customHeight="1" x14ac:dyDescent="0.2">
      <c r="A334" s="5"/>
    </row>
    <row r="335" spans="1:1" ht="14.25" customHeight="1" x14ac:dyDescent="0.2">
      <c r="A335" s="5"/>
    </row>
    <row r="336" spans="1:1" ht="14.25" customHeight="1" x14ac:dyDescent="0.2">
      <c r="A336" s="5"/>
    </row>
    <row r="337" spans="1:1" ht="14.25" customHeight="1" x14ac:dyDescent="0.2">
      <c r="A337" s="5"/>
    </row>
    <row r="338" spans="1:1" ht="14.25" customHeight="1" x14ac:dyDescent="0.2">
      <c r="A338" s="5"/>
    </row>
    <row r="339" spans="1:1" ht="14.25" customHeight="1" x14ac:dyDescent="0.2">
      <c r="A339" s="5"/>
    </row>
    <row r="340" spans="1:1" ht="14.25" customHeight="1" x14ac:dyDescent="0.2">
      <c r="A340" s="5"/>
    </row>
    <row r="341" spans="1:1" ht="14.25" customHeight="1" x14ac:dyDescent="0.2">
      <c r="A341" s="5"/>
    </row>
    <row r="342" spans="1:1" ht="14.25" customHeight="1" x14ac:dyDescent="0.2">
      <c r="A342" s="5"/>
    </row>
    <row r="343" spans="1:1" ht="14.25" customHeight="1" x14ac:dyDescent="0.2">
      <c r="A343" s="5"/>
    </row>
    <row r="344" spans="1:1" ht="14.25" customHeight="1" x14ac:dyDescent="0.2">
      <c r="A344" s="5"/>
    </row>
    <row r="345" spans="1:1" ht="14.25" customHeight="1" x14ac:dyDescent="0.2">
      <c r="A345" s="5"/>
    </row>
    <row r="346" spans="1:1" ht="14.25" customHeight="1" x14ac:dyDescent="0.2">
      <c r="A346" s="5"/>
    </row>
    <row r="347" spans="1:1" ht="14.25" customHeight="1" x14ac:dyDescent="0.2">
      <c r="A347" s="5"/>
    </row>
    <row r="348" spans="1:1" ht="14.25" customHeight="1" x14ac:dyDescent="0.2">
      <c r="A348" s="5"/>
    </row>
    <row r="349" spans="1:1" ht="14.25" customHeight="1" x14ac:dyDescent="0.2">
      <c r="A349" s="5"/>
    </row>
    <row r="350" spans="1:1" ht="14.25" customHeight="1" x14ac:dyDescent="0.2">
      <c r="A350" s="5"/>
    </row>
    <row r="351" spans="1:1" ht="14.25" customHeight="1" x14ac:dyDescent="0.2">
      <c r="A351" s="5"/>
    </row>
    <row r="352" spans="1:1" ht="14.25" customHeight="1" x14ac:dyDescent="0.2">
      <c r="A352" s="5"/>
    </row>
    <row r="353" spans="1:1" ht="14.25" customHeight="1" x14ac:dyDescent="0.2">
      <c r="A353" s="5"/>
    </row>
    <row r="354" spans="1:1" ht="14.25" customHeight="1" x14ac:dyDescent="0.2">
      <c r="A354" s="5"/>
    </row>
    <row r="355" spans="1:1" ht="14.25" customHeight="1" x14ac:dyDescent="0.2">
      <c r="A355" s="5"/>
    </row>
    <row r="356" spans="1:1" ht="14.25" customHeight="1" x14ac:dyDescent="0.2">
      <c r="A356" s="5"/>
    </row>
    <row r="357" spans="1:1" ht="14.25" customHeight="1" x14ac:dyDescent="0.2">
      <c r="A357" s="5"/>
    </row>
    <row r="358" spans="1:1" ht="14.25" customHeight="1" x14ac:dyDescent="0.2">
      <c r="A358" s="5"/>
    </row>
    <row r="359" spans="1:1" ht="14.25" customHeight="1" x14ac:dyDescent="0.2">
      <c r="A359" s="5"/>
    </row>
    <row r="360" spans="1:1" ht="14.25" customHeight="1" x14ac:dyDescent="0.2">
      <c r="A360" s="5"/>
    </row>
    <row r="361" spans="1:1" ht="14.25" customHeight="1" x14ac:dyDescent="0.2">
      <c r="A361" s="5"/>
    </row>
    <row r="362" spans="1:1" ht="14.25" customHeight="1" x14ac:dyDescent="0.2">
      <c r="A362" s="5"/>
    </row>
    <row r="363" spans="1:1" ht="14.25" customHeight="1" x14ac:dyDescent="0.2">
      <c r="A363" s="5"/>
    </row>
    <row r="364" spans="1:1" ht="14.25" customHeight="1" x14ac:dyDescent="0.2">
      <c r="A364" s="5"/>
    </row>
    <row r="365" spans="1:1" ht="14.25" customHeight="1" x14ac:dyDescent="0.2">
      <c r="A365" s="5"/>
    </row>
    <row r="366" spans="1:1" ht="14.25" customHeight="1" x14ac:dyDescent="0.2">
      <c r="A366" s="5"/>
    </row>
    <row r="367" spans="1:1" ht="14.25" customHeight="1" x14ac:dyDescent="0.2">
      <c r="A367" s="5"/>
    </row>
    <row r="368" spans="1:1" ht="14.25" customHeight="1" x14ac:dyDescent="0.2">
      <c r="A368" s="5"/>
    </row>
    <row r="369" spans="1:1" ht="14.25" customHeight="1" x14ac:dyDescent="0.2">
      <c r="A369" s="5"/>
    </row>
    <row r="370" spans="1:1" ht="14.25" customHeight="1" x14ac:dyDescent="0.2">
      <c r="A370" s="5"/>
    </row>
    <row r="371" spans="1:1" ht="14.25" customHeight="1" x14ac:dyDescent="0.2">
      <c r="A371" s="5"/>
    </row>
    <row r="372" spans="1:1" ht="14.25" customHeight="1" x14ac:dyDescent="0.2">
      <c r="A372" s="5"/>
    </row>
    <row r="373" spans="1:1" ht="14.25" customHeight="1" x14ac:dyDescent="0.2">
      <c r="A373" s="5"/>
    </row>
    <row r="374" spans="1:1" ht="14.25" customHeight="1" x14ac:dyDescent="0.2">
      <c r="A374" s="5"/>
    </row>
    <row r="375" spans="1:1" ht="14.25" customHeight="1" x14ac:dyDescent="0.2">
      <c r="A375" s="5"/>
    </row>
    <row r="376" spans="1:1" ht="14.25" customHeight="1" x14ac:dyDescent="0.2">
      <c r="A376" s="5"/>
    </row>
    <row r="377" spans="1:1" ht="14.25" customHeight="1" x14ac:dyDescent="0.2">
      <c r="A377" s="5"/>
    </row>
    <row r="378" spans="1:1" ht="14.25" customHeight="1" x14ac:dyDescent="0.2">
      <c r="A378" s="5"/>
    </row>
    <row r="379" spans="1:1" ht="14.25" customHeight="1" x14ac:dyDescent="0.2">
      <c r="A379" s="5"/>
    </row>
    <row r="380" spans="1:1" ht="14.25" customHeight="1" x14ac:dyDescent="0.2">
      <c r="A380" s="5"/>
    </row>
    <row r="381" spans="1:1" ht="14.25" customHeight="1" x14ac:dyDescent="0.2">
      <c r="A381" s="5"/>
    </row>
    <row r="382" spans="1:1" ht="14.25" customHeight="1" x14ac:dyDescent="0.2">
      <c r="A382" s="5"/>
    </row>
    <row r="383" spans="1:1" ht="14.25" customHeight="1" x14ac:dyDescent="0.2">
      <c r="A383" s="5"/>
    </row>
    <row r="384" spans="1:1" ht="14.25" customHeight="1" x14ac:dyDescent="0.2">
      <c r="A384" s="5"/>
    </row>
    <row r="385" spans="1:1" ht="14.25" customHeight="1" x14ac:dyDescent="0.2">
      <c r="A385" s="5"/>
    </row>
    <row r="386" spans="1:1" ht="14.25" customHeight="1" x14ac:dyDescent="0.2">
      <c r="A386" s="5"/>
    </row>
    <row r="387" spans="1:1" ht="14.25" customHeight="1" x14ac:dyDescent="0.2">
      <c r="A387" s="5"/>
    </row>
    <row r="388" spans="1:1" ht="14.25" customHeight="1" x14ac:dyDescent="0.2">
      <c r="A388" s="5"/>
    </row>
    <row r="389" spans="1:1" ht="14.25" customHeight="1" x14ac:dyDescent="0.2">
      <c r="A389" s="5"/>
    </row>
    <row r="390" spans="1:1" ht="14.25" customHeight="1" x14ac:dyDescent="0.2">
      <c r="A390" s="5"/>
    </row>
    <row r="391" spans="1:1" ht="14.25" customHeight="1" x14ac:dyDescent="0.2">
      <c r="A391" s="5"/>
    </row>
    <row r="392" spans="1:1" ht="14.25" customHeight="1" x14ac:dyDescent="0.2">
      <c r="A392" s="5"/>
    </row>
    <row r="393" spans="1:1" ht="14.25" customHeight="1" x14ac:dyDescent="0.2">
      <c r="A393" s="5"/>
    </row>
    <row r="394" spans="1:1" ht="14.25" customHeight="1" x14ac:dyDescent="0.2">
      <c r="A394" s="5"/>
    </row>
    <row r="395" spans="1:1" ht="14.25" customHeight="1" x14ac:dyDescent="0.2">
      <c r="A395" s="5"/>
    </row>
    <row r="396" spans="1:1" ht="14.25" customHeight="1" x14ac:dyDescent="0.2">
      <c r="A396" s="5"/>
    </row>
    <row r="397" spans="1:1" ht="14.25" customHeight="1" x14ac:dyDescent="0.2">
      <c r="A397" s="5"/>
    </row>
    <row r="398" spans="1:1" ht="14.25" customHeight="1" x14ac:dyDescent="0.2">
      <c r="A398" s="5"/>
    </row>
    <row r="399" spans="1:1" ht="14.25" customHeight="1" x14ac:dyDescent="0.2">
      <c r="A399" s="5"/>
    </row>
    <row r="400" spans="1:1" ht="14.25" customHeight="1" x14ac:dyDescent="0.2">
      <c r="A400" s="5"/>
    </row>
    <row r="401" spans="1:1" ht="14.25" customHeight="1" x14ac:dyDescent="0.2">
      <c r="A401" s="5"/>
    </row>
    <row r="402" spans="1:1" ht="14.25" customHeight="1" x14ac:dyDescent="0.2">
      <c r="A402" s="5"/>
    </row>
    <row r="403" spans="1:1" ht="14.25" customHeight="1" x14ac:dyDescent="0.2">
      <c r="A403" s="5"/>
    </row>
    <row r="404" spans="1:1" ht="14.25" customHeight="1" x14ac:dyDescent="0.2">
      <c r="A404" s="5"/>
    </row>
    <row r="405" spans="1:1" ht="14.25" customHeight="1" x14ac:dyDescent="0.2">
      <c r="A405" s="5"/>
    </row>
    <row r="406" spans="1:1" ht="14.25" customHeight="1" x14ac:dyDescent="0.2">
      <c r="A406" s="5"/>
    </row>
    <row r="407" spans="1:1" ht="14.25" customHeight="1" x14ac:dyDescent="0.2">
      <c r="A407" s="5"/>
    </row>
    <row r="408" spans="1:1" ht="14.25" customHeight="1" x14ac:dyDescent="0.2">
      <c r="A408" s="5"/>
    </row>
    <row r="409" spans="1:1" ht="14.25" customHeight="1" x14ac:dyDescent="0.2">
      <c r="A409" s="5"/>
    </row>
    <row r="410" spans="1:1" ht="14.25" customHeight="1" x14ac:dyDescent="0.2">
      <c r="A410" s="5"/>
    </row>
    <row r="411" spans="1:1" ht="14.25" customHeight="1" x14ac:dyDescent="0.2">
      <c r="A411" s="5"/>
    </row>
    <row r="412" spans="1:1" ht="14.25" customHeight="1" x14ac:dyDescent="0.2">
      <c r="A412" s="5"/>
    </row>
    <row r="413" spans="1:1" ht="14.25" customHeight="1" x14ac:dyDescent="0.2">
      <c r="A413" s="5"/>
    </row>
    <row r="414" spans="1:1" ht="14.25" customHeight="1" x14ac:dyDescent="0.2">
      <c r="A414" s="5"/>
    </row>
    <row r="415" spans="1:1" ht="14.25" customHeight="1" x14ac:dyDescent="0.2">
      <c r="A415" s="5"/>
    </row>
    <row r="416" spans="1:1" ht="14.25" customHeight="1" x14ac:dyDescent="0.2">
      <c r="A416" s="5"/>
    </row>
    <row r="417" spans="1:1" ht="14.25" customHeight="1" x14ac:dyDescent="0.2">
      <c r="A417" s="5"/>
    </row>
    <row r="418" spans="1:1" ht="14.25" customHeight="1" x14ac:dyDescent="0.2">
      <c r="A418" s="5"/>
    </row>
    <row r="419" spans="1:1" ht="14.25" customHeight="1" x14ac:dyDescent="0.2">
      <c r="A419" s="5"/>
    </row>
    <row r="420" spans="1:1" ht="14.25" customHeight="1" x14ac:dyDescent="0.2">
      <c r="A420" s="5"/>
    </row>
    <row r="421" spans="1:1" ht="14.25" customHeight="1" x14ac:dyDescent="0.2">
      <c r="A421" s="5"/>
    </row>
    <row r="422" spans="1:1" ht="14.25" customHeight="1" x14ac:dyDescent="0.2">
      <c r="A422" s="5"/>
    </row>
    <row r="423" spans="1:1" ht="14.25" customHeight="1" x14ac:dyDescent="0.2">
      <c r="A423" s="5"/>
    </row>
    <row r="424" spans="1:1" ht="14.25" customHeight="1" x14ac:dyDescent="0.2">
      <c r="A424" s="5"/>
    </row>
    <row r="425" spans="1:1" ht="14.25" customHeight="1" x14ac:dyDescent="0.2">
      <c r="A425" s="5"/>
    </row>
    <row r="426" spans="1:1" ht="14.25" customHeight="1" x14ac:dyDescent="0.2">
      <c r="A426" s="5"/>
    </row>
    <row r="427" spans="1:1" ht="14.25" customHeight="1" x14ac:dyDescent="0.2">
      <c r="A427" s="5"/>
    </row>
    <row r="428" spans="1:1" ht="14.25" customHeight="1" x14ac:dyDescent="0.2">
      <c r="A428" s="5"/>
    </row>
    <row r="429" spans="1:1" ht="14.25" customHeight="1" x14ac:dyDescent="0.2">
      <c r="A429" s="5"/>
    </row>
    <row r="430" spans="1:1" ht="14.25" customHeight="1" x14ac:dyDescent="0.2">
      <c r="A430" s="5"/>
    </row>
    <row r="431" spans="1:1" ht="14.25" customHeight="1" x14ac:dyDescent="0.2">
      <c r="A431" s="5"/>
    </row>
    <row r="432" spans="1:1" ht="14.25" customHeight="1" x14ac:dyDescent="0.2">
      <c r="A432" s="5"/>
    </row>
    <row r="433" spans="1:1" ht="14.25" customHeight="1" x14ac:dyDescent="0.2">
      <c r="A433" s="5"/>
    </row>
    <row r="434" spans="1:1" ht="14.25" customHeight="1" x14ac:dyDescent="0.2">
      <c r="A434" s="5"/>
    </row>
    <row r="435" spans="1:1" ht="14.25" customHeight="1" x14ac:dyDescent="0.2">
      <c r="A435" s="5"/>
    </row>
    <row r="436" spans="1:1" ht="14.25" customHeight="1" x14ac:dyDescent="0.2">
      <c r="A436" s="5"/>
    </row>
    <row r="437" spans="1:1" ht="14.25" customHeight="1" x14ac:dyDescent="0.2">
      <c r="A437" s="5"/>
    </row>
    <row r="438" spans="1:1" ht="14.25" customHeight="1" x14ac:dyDescent="0.2">
      <c r="A438" s="5"/>
    </row>
    <row r="439" spans="1:1" ht="14.25" customHeight="1" x14ac:dyDescent="0.2">
      <c r="A439" s="5"/>
    </row>
    <row r="440" spans="1:1" ht="14.25" customHeight="1" x14ac:dyDescent="0.2">
      <c r="A440" s="5"/>
    </row>
    <row r="441" spans="1:1" ht="14.25" customHeight="1" x14ac:dyDescent="0.2">
      <c r="A441" s="5"/>
    </row>
    <row r="442" spans="1:1" ht="14.25" customHeight="1" x14ac:dyDescent="0.2">
      <c r="A442" s="5"/>
    </row>
    <row r="443" spans="1:1" ht="14.25" customHeight="1" x14ac:dyDescent="0.2">
      <c r="A443" s="5"/>
    </row>
    <row r="444" spans="1:1" ht="14.25" customHeight="1" x14ac:dyDescent="0.2">
      <c r="A444" s="5"/>
    </row>
    <row r="445" spans="1:1" ht="14.25" customHeight="1" x14ac:dyDescent="0.2">
      <c r="A445" s="5"/>
    </row>
    <row r="446" spans="1:1" ht="14.25" customHeight="1" x14ac:dyDescent="0.2">
      <c r="A446" s="5"/>
    </row>
    <row r="447" spans="1:1" ht="14.25" customHeight="1" x14ac:dyDescent="0.2">
      <c r="A447" s="5"/>
    </row>
    <row r="448" spans="1:1" ht="14.25" customHeight="1" x14ac:dyDescent="0.2">
      <c r="A448" s="5"/>
    </row>
    <row r="449" spans="1:1" ht="14.25" customHeight="1" x14ac:dyDescent="0.2">
      <c r="A449" s="5"/>
    </row>
    <row r="450" spans="1:1" ht="14.25" customHeight="1" x14ac:dyDescent="0.2">
      <c r="A450" s="5"/>
    </row>
    <row r="451" spans="1:1" ht="14.25" customHeight="1" x14ac:dyDescent="0.2">
      <c r="A451" s="5"/>
    </row>
    <row r="452" spans="1:1" ht="14.25" customHeight="1" x14ac:dyDescent="0.2">
      <c r="A452" s="5"/>
    </row>
    <row r="453" spans="1:1" ht="14.25" customHeight="1" x14ac:dyDescent="0.2">
      <c r="A453" s="5"/>
    </row>
    <row r="454" spans="1:1" ht="14.25" customHeight="1" x14ac:dyDescent="0.2">
      <c r="A454" s="5"/>
    </row>
    <row r="455" spans="1:1" ht="14.25" customHeight="1" x14ac:dyDescent="0.2">
      <c r="A455" s="5"/>
    </row>
    <row r="456" spans="1:1" ht="14.25" customHeight="1" x14ac:dyDescent="0.2">
      <c r="A456" s="5"/>
    </row>
    <row r="457" spans="1:1" ht="14.25" customHeight="1" x14ac:dyDescent="0.2">
      <c r="A457" s="5"/>
    </row>
    <row r="458" spans="1:1" ht="14.25" customHeight="1" x14ac:dyDescent="0.2">
      <c r="A458" s="5"/>
    </row>
    <row r="459" spans="1:1" ht="14.25" customHeight="1" x14ac:dyDescent="0.2">
      <c r="A459" s="5"/>
    </row>
    <row r="460" spans="1:1" ht="14.25" customHeight="1" x14ac:dyDescent="0.2">
      <c r="A460" s="5"/>
    </row>
    <row r="461" spans="1:1" ht="14.25" customHeight="1" x14ac:dyDescent="0.2">
      <c r="A461" s="5"/>
    </row>
    <row r="462" spans="1:1" ht="14.25" customHeight="1" x14ac:dyDescent="0.2">
      <c r="A462" s="5"/>
    </row>
    <row r="463" spans="1:1" ht="14.25" customHeight="1" x14ac:dyDescent="0.2">
      <c r="A463" s="5"/>
    </row>
    <row r="464" spans="1:1" ht="14.25" customHeight="1" x14ac:dyDescent="0.2">
      <c r="A464" s="5"/>
    </row>
    <row r="465" spans="1:1" ht="14.25" customHeight="1" x14ac:dyDescent="0.2">
      <c r="A465" s="5"/>
    </row>
    <row r="466" spans="1:1" ht="14.25" customHeight="1" x14ac:dyDescent="0.2">
      <c r="A466" s="5"/>
    </row>
    <row r="467" spans="1:1" ht="14.25" customHeight="1" x14ac:dyDescent="0.2">
      <c r="A467" s="5"/>
    </row>
    <row r="468" spans="1:1" ht="14.25" customHeight="1" x14ac:dyDescent="0.2">
      <c r="A468" s="5"/>
    </row>
    <row r="469" spans="1:1" ht="14.25" customHeight="1" x14ac:dyDescent="0.2">
      <c r="A469" s="5"/>
    </row>
    <row r="470" spans="1:1" ht="14.25" customHeight="1" x14ac:dyDescent="0.2">
      <c r="A470" s="5"/>
    </row>
    <row r="471" spans="1:1" ht="14.25" customHeight="1" x14ac:dyDescent="0.2">
      <c r="A471" s="5"/>
    </row>
    <row r="472" spans="1:1" ht="14.25" customHeight="1" x14ac:dyDescent="0.2">
      <c r="A472" s="5"/>
    </row>
    <row r="473" spans="1:1" ht="14.25" customHeight="1" x14ac:dyDescent="0.2">
      <c r="A473" s="5"/>
    </row>
    <row r="474" spans="1:1" ht="14.25" customHeight="1" x14ac:dyDescent="0.2">
      <c r="A474" s="5"/>
    </row>
    <row r="475" spans="1:1" ht="14.25" customHeight="1" x14ac:dyDescent="0.2">
      <c r="A475" s="5"/>
    </row>
    <row r="476" spans="1:1" ht="14.25" customHeight="1" x14ac:dyDescent="0.2">
      <c r="A476" s="5"/>
    </row>
    <row r="477" spans="1:1" ht="14.25" customHeight="1" x14ac:dyDescent="0.2">
      <c r="A477" s="5"/>
    </row>
    <row r="478" spans="1:1" ht="14.25" customHeight="1" x14ac:dyDescent="0.2">
      <c r="A478" s="5"/>
    </row>
    <row r="479" spans="1:1" ht="14.25" customHeight="1" x14ac:dyDescent="0.2">
      <c r="A479" s="5"/>
    </row>
    <row r="480" spans="1:1" ht="14.25" customHeight="1" x14ac:dyDescent="0.2">
      <c r="A480" s="5"/>
    </row>
    <row r="481" spans="1:1" ht="14.25" customHeight="1" x14ac:dyDescent="0.2">
      <c r="A481" s="5"/>
    </row>
    <row r="482" spans="1:1" ht="14.25" customHeight="1" x14ac:dyDescent="0.2">
      <c r="A482" s="5"/>
    </row>
    <row r="483" spans="1:1" ht="14.25" customHeight="1" x14ac:dyDescent="0.2">
      <c r="A483" s="5"/>
    </row>
    <row r="484" spans="1:1" ht="14.25" customHeight="1" x14ac:dyDescent="0.2">
      <c r="A484" s="5"/>
    </row>
    <row r="485" spans="1:1" ht="14.25" customHeight="1" x14ac:dyDescent="0.2">
      <c r="A485" s="5"/>
    </row>
    <row r="486" spans="1:1" ht="14.25" customHeight="1" x14ac:dyDescent="0.2">
      <c r="A486" s="5"/>
    </row>
    <row r="487" spans="1:1" ht="14.25" customHeight="1" x14ac:dyDescent="0.2">
      <c r="A487" s="5"/>
    </row>
    <row r="488" spans="1:1" ht="14.25" customHeight="1" x14ac:dyDescent="0.2">
      <c r="A488" s="5"/>
    </row>
    <row r="489" spans="1:1" ht="14.25" customHeight="1" x14ac:dyDescent="0.2">
      <c r="A489" s="5"/>
    </row>
    <row r="490" spans="1:1" ht="14.25" customHeight="1" x14ac:dyDescent="0.2">
      <c r="A490" s="5"/>
    </row>
    <row r="491" spans="1:1" ht="14.25" customHeight="1" x14ac:dyDescent="0.2">
      <c r="A491" s="5"/>
    </row>
    <row r="492" spans="1:1" ht="14.25" customHeight="1" x14ac:dyDescent="0.2">
      <c r="A492" s="5"/>
    </row>
    <row r="493" spans="1:1" ht="14.25" customHeight="1" x14ac:dyDescent="0.2">
      <c r="A493" s="5"/>
    </row>
    <row r="494" spans="1:1" ht="14.25" customHeight="1" x14ac:dyDescent="0.2">
      <c r="A494" s="5"/>
    </row>
    <row r="495" spans="1:1" ht="14.25" customHeight="1" x14ac:dyDescent="0.2">
      <c r="A495" s="5"/>
    </row>
    <row r="496" spans="1:1" ht="14.25" customHeight="1" x14ac:dyDescent="0.2">
      <c r="A496" s="5"/>
    </row>
    <row r="497" spans="1:1" ht="14.25" customHeight="1" x14ac:dyDescent="0.2">
      <c r="A497" s="5"/>
    </row>
    <row r="498" spans="1:1" ht="14.25" customHeight="1" x14ac:dyDescent="0.2">
      <c r="A498" s="5"/>
    </row>
    <row r="499" spans="1:1" ht="14.25" customHeight="1" x14ac:dyDescent="0.2">
      <c r="A499" s="5"/>
    </row>
    <row r="500" spans="1:1" ht="14.25" customHeight="1" x14ac:dyDescent="0.2">
      <c r="A500" s="5"/>
    </row>
    <row r="501" spans="1:1" ht="14.25" customHeight="1" x14ac:dyDescent="0.2">
      <c r="A501" s="5"/>
    </row>
    <row r="502" spans="1:1" ht="14.25" customHeight="1" x14ac:dyDescent="0.2">
      <c r="A502" s="5"/>
    </row>
    <row r="503" spans="1:1" ht="14.25" customHeight="1" x14ac:dyDescent="0.2">
      <c r="A503" s="5"/>
    </row>
    <row r="504" spans="1:1" ht="14.25" customHeight="1" x14ac:dyDescent="0.2">
      <c r="A504" s="5"/>
    </row>
    <row r="505" spans="1:1" ht="14.25" customHeight="1" x14ac:dyDescent="0.2">
      <c r="A505" s="5"/>
    </row>
    <row r="506" spans="1:1" ht="14.25" customHeight="1" x14ac:dyDescent="0.2">
      <c r="A506" s="5"/>
    </row>
    <row r="507" spans="1:1" ht="14.25" customHeight="1" x14ac:dyDescent="0.2">
      <c r="A507" s="5"/>
    </row>
    <row r="508" spans="1:1" ht="14.25" customHeight="1" x14ac:dyDescent="0.2">
      <c r="A508" s="5"/>
    </row>
    <row r="509" spans="1:1" ht="14.25" customHeight="1" x14ac:dyDescent="0.2">
      <c r="A509" s="5"/>
    </row>
    <row r="510" spans="1:1" ht="14.25" customHeight="1" x14ac:dyDescent="0.2">
      <c r="A510" s="5"/>
    </row>
    <row r="511" spans="1:1" ht="14.25" customHeight="1" x14ac:dyDescent="0.2">
      <c r="A511" s="5"/>
    </row>
    <row r="512" spans="1:1" ht="14.25" customHeight="1" x14ac:dyDescent="0.2">
      <c r="A512" s="5"/>
    </row>
    <row r="513" spans="1:1" ht="14.25" customHeight="1" x14ac:dyDescent="0.2">
      <c r="A513" s="5"/>
    </row>
    <row r="514" spans="1:1" ht="14.25" customHeight="1" x14ac:dyDescent="0.2">
      <c r="A514" s="5"/>
    </row>
    <row r="515" spans="1:1" ht="14.25" customHeight="1" x14ac:dyDescent="0.2">
      <c r="A515" s="5"/>
    </row>
    <row r="516" spans="1:1" ht="14.25" customHeight="1" x14ac:dyDescent="0.2">
      <c r="A516" s="5"/>
    </row>
    <row r="517" spans="1:1" ht="14.25" customHeight="1" x14ac:dyDescent="0.2">
      <c r="A517" s="5"/>
    </row>
    <row r="518" spans="1:1" ht="14.25" customHeight="1" x14ac:dyDescent="0.2">
      <c r="A518" s="5"/>
    </row>
    <row r="519" spans="1:1" ht="14.25" customHeight="1" x14ac:dyDescent="0.2">
      <c r="A519" s="5"/>
    </row>
    <row r="520" spans="1:1" ht="14.25" customHeight="1" x14ac:dyDescent="0.2">
      <c r="A520" s="5"/>
    </row>
    <row r="521" spans="1:1" ht="14.25" customHeight="1" x14ac:dyDescent="0.2">
      <c r="A521" s="5"/>
    </row>
    <row r="522" spans="1:1" ht="14.25" customHeight="1" x14ac:dyDescent="0.2">
      <c r="A522" s="5"/>
    </row>
    <row r="523" spans="1:1" ht="14.25" customHeight="1" x14ac:dyDescent="0.2">
      <c r="A523" s="5"/>
    </row>
    <row r="524" spans="1:1" ht="14.25" customHeight="1" x14ac:dyDescent="0.2">
      <c r="A524" s="5"/>
    </row>
    <row r="525" spans="1:1" ht="14.25" customHeight="1" x14ac:dyDescent="0.2">
      <c r="A525" s="5"/>
    </row>
    <row r="526" spans="1:1" ht="14.25" customHeight="1" x14ac:dyDescent="0.2">
      <c r="A526" s="5"/>
    </row>
    <row r="527" spans="1:1" ht="14.25" customHeight="1" x14ac:dyDescent="0.2">
      <c r="A527" s="5"/>
    </row>
    <row r="528" spans="1:1" ht="14.25" customHeight="1" x14ac:dyDescent="0.2">
      <c r="A528" s="5"/>
    </row>
    <row r="529" spans="1:1" ht="14.25" customHeight="1" x14ac:dyDescent="0.2">
      <c r="A529" s="5"/>
    </row>
    <row r="530" spans="1:1" ht="14.25" customHeight="1" x14ac:dyDescent="0.2">
      <c r="A530" s="5"/>
    </row>
    <row r="531" spans="1:1" ht="14.25" customHeight="1" x14ac:dyDescent="0.2">
      <c r="A531" s="5"/>
    </row>
    <row r="532" spans="1:1" ht="14.25" customHeight="1" x14ac:dyDescent="0.2">
      <c r="A532" s="5"/>
    </row>
    <row r="533" spans="1:1" ht="14.25" customHeight="1" x14ac:dyDescent="0.2">
      <c r="A533" s="5"/>
    </row>
    <row r="534" spans="1:1" ht="14.25" customHeight="1" x14ac:dyDescent="0.2">
      <c r="A534" s="5"/>
    </row>
    <row r="535" spans="1:1" ht="14.25" customHeight="1" x14ac:dyDescent="0.2">
      <c r="A535" s="5"/>
    </row>
    <row r="536" spans="1:1" ht="14.25" customHeight="1" x14ac:dyDescent="0.2">
      <c r="A536" s="5"/>
    </row>
    <row r="537" spans="1:1" ht="14.25" customHeight="1" x14ac:dyDescent="0.2">
      <c r="A537" s="5"/>
    </row>
    <row r="538" spans="1:1" ht="14.25" customHeight="1" x14ac:dyDescent="0.2">
      <c r="A538" s="5"/>
    </row>
    <row r="539" spans="1:1" ht="14.25" customHeight="1" x14ac:dyDescent="0.2">
      <c r="A539" s="5"/>
    </row>
    <row r="540" spans="1:1" ht="14.25" customHeight="1" x14ac:dyDescent="0.2">
      <c r="A540" s="5"/>
    </row>
    <row r="541" spans="1:1" ht="14.25" customHeight="1" x14ac:dyDescent="0.2">
      <c r="A541" s="5"/>
    </row>
    <row r="542" spans="1:1" ht="14.25" customHeight="1" x14ac:dyDescent="0.2">
      <c r="A542" s="5"/>
    </row>
    <row r="543" spans="1:1" ht="14.25" customHeight="1" x14ac:dyDescent="0.2">
      <c r="A543" s="5"/>
    </row>
    <row r="544" spans="1:1" ht="14.25" customHeight="1" x14ac:dyDescent="0.2">
      <c r="A544" s="5"/>
    </row>
    <row r="545" spans="1:1" ht="14.25" customHeight="1" x14ac:dyDescent="0.2">
      <c r="A545" s="5"/>
    </row>
    <row r="546" spans="1:1" ht="14.25" customHeight="1" x14ac:dyDescent="0.2">
      <c r="A546" s="5"/>
    </row>
    <row r="547" spans="1:1" ht="14.25" customHeight="1" x14ac:dyDescent="0.2">
      <c r="A547" s="5"/>
    </row>
    <row r="548" spans="1:1" ht="14.25" customHeight="1" x14ac:dyDescent="0.2">
      <c r="A548" s="5"/>
    </row>
    <row r="549" spans="1:1" ht="14.25" customHeight="1" x14ac:dyDescent="0.2">
      <c r="A549" s="5"/>
    </row>
  </sheetData>
  <mergeCells count="307">
    <mergeCell ref="H90:J90"/>
    <mergeCell ref="M90:N90"/>
    <mergeCell ref="P90:Q90"/>
    <mergeCell ref="S90:T90"/>
    <mergeCell ref="V90:W90"/>
    <mergeCell ref="Y90:Z90"/>
    <mergeCell ref="AB90:AC90"/>
    <mergeCell ref="AE90:AF90"/>
    <mergeCell ref="AT90:AU90"/>
    <mergeCell ref="AT86:AU86"/>
    <mergeCell ref="AQ89:AR89"/>
    <mergeCell ref="AE86:AF86"/>
    <mergeCell ref="AW90:AX90"/>
    <mergeCell ref="AZ90:BA90"/>
    <mergeCell ref="AH90:AI90"/>
    <mergeCell ref="AK90:AL90"/>
    <mergeCell ref="AN90:AO90"/>
    <mergeCell ref="AQ90:AR90"/>
    <mergeCell ref="AZ89:BA89"/>
    <mergeCell ref="H86:J86"/>
    <mergeCell ref="M86:N86"/>
    <mergeCell ref="H89:J89"/>
    <mergeCell ref="M89:N89"/>
    <mergeCell ref="P89:Q89"/>
    <mergeCell ref="S89:T89"/>
    <mergeCell ref="P86:Q86"/>
    <mergeCell ref="S86:T86"/>
    <mergeCell ref="V86:W86"/>
    <mergeCell ref="Y86:Z86"/>
    <mergeCell ref="V83:W83"/>
    <mergeCell ref="AH86:AI86"/>
    <mergeCell ref="V89:W89"/>
    <mergeCell ref="Y89:Z89"/>
    <mergeCell ref="AB89:AC89"/>
    <mergeCell ref="AZ86:BA86"/>
    <mergeCell ref="AN86:AO86"/>
    <mergeCell ref="AB83:AC83"/>
    <mergeCell ref="AB86:AC86"/>
    <mergeCell ref="AQ86:AR86"/>
    <mergeCell ref="AZ83:BA83"/>
    <mergeCell ref="AN83:AO83"/>
    <mergeCell ref="AW83:AX83"/>
    <mergeCell ref="AK86:AL86"/>
    <mergeCell ref="AK83:AL83"/>
    <mergeCell ref="AT83:AU83"/>
    <mergeCell ref="AW86:AX86"/>
    <mergeCell ref="AE89:AF89"/>
    <mergeCell ref="AH89:AI89"/>
    <mergeCell ref="AK89:AL89"/>
    <mergeCell ref="AN89:AO89"/>
    <mergeCell ref="AW89:AX89"/>
    <mergeCell ref="AT89:AU89"/>
    <mergeCell ref="H83:J83"/>
    <mergeCell ref="M83:N83"/>
    <mergeCell ref="P83:Q83"/>
    <mergeCell ref="S83:T83"/>
    <mergeCell ref="Y83:Z83"/>
    <mergeCell ref="AQ83:AR83"/>
    <mergeCell ref="AE83:AF83"/>
    <mergeCell ref="AH83:AI83"/>
    <mergeCell ref="AK74:AL74"/>
    <mergeCell ref="AN74:AO74"/>
    <mergeCell ref="P74:Q74"/>
    <mergeCell ref="S74:T74"/>
    <mergeCell ref="Y74:Z74"/>
    <mergeCell ref="AZ80:BA80"/>
    <mergeCell ref="V74:W74"/>
    <mergeCell ref="Y80:Z80"/>
    <mergeCell ref="AB80:AC80"/>
    <mergeCell ref="AZ74:BA74"/>
    <mergeCell ref="AH74:AI74"/>
    <mergeCell ref="AQ74:AR74"/>
    <mergeCell ref="H80:J80"/>
    <mergeCell ref="M80:N80"/>
    <mergeCell ref="P80:Q80"/>
    <mergeCell ref="S80:T80"/>
    <mergeCell ref="V80:W80"/>
    <mergeCell ref="AE74:AF74"/>
    <mergeCell ref="AW80:AX80"/>
    <mergeCell ref="AW74:AX74"/>
    <mergeCell ref="AT74:AU74"/>
    <mergeCell ref="AT80:AU80"/>
    <mergeCell ref="AK80:AL80"/>
    <mergeCell ref="AN80:AO80"/>
    <mergeCell ref="AH80:AI80"/>
    <mergeCell ref="AQ80:AR80"/>
    <mergeCell ref="AE80:AF80"/>
    <mergeCell ref="H74:J74"/>
    <mergeCell ref="M74:N74"/>
    <mergeCell ref="AB71:AC71"/>
    <mergeCell ref="V71:W71"/>
    <mergeCell ref="Y71:Z71"/>
    <mergeCell ref="AB74:AC74"/>
    <mergeCell ref="AZ71:BA71"/>
    <mergeCell ref="AW71:AX71"/>
    <mergeCell ref="H71:J71"/>
    <mergeCell ref="M71:N71"/>
    <mergeCell ref="P71:Q71"/>
    <mergeCell ref="AE71:AF71"/>
    <mergeCell ref="AT71:AU71"/>
    <mergeCell ref="AQ71:AR71"/>
    <mergeCell ref="AH71:AI71"/>
    <mergeCell ref="AK71:AL71"/>
    <mergeCell ref="AN71:AO71"/>
    <mergeCell ref="S71:T71"/>
    <mergeCell ref="AZ68:BA68"/>
    <mergeCell ref="AK68:AL68"/>
    <mergeCell ref="AN68:AO68"/>
    <mergeCell ref="AQ68:AR68"/>
    <mergeCell ref="AT68:AU68"/>
    <mergeCell ref="AW68:AX68"/>
    <mergeCell ref="H68:J68"/>
    <mergeCell ref="M68:N68"/>
    <mergeCell ref="P68:Q68"/>
    <mergeCell ref="S68:T68"/>
    <mergeCell ref="AZ51:BA51"/>
    <mergeCell ref="AN56:AO56"/>
    <mergeCell ref="H60:J60"/>
    <mergeCell ref="M60:N60"/>
    <mergeCell ref="P60:Q60"/>
    <mergeCell ref="S60:T60"/>
    <mergeCell ref="AT60:AU60"/>
    <mergeCell ref="V60:W60"/>
    <mergeCell ref="Y60:Z60"/>
    <mergeCell ref="AB60:AC60"/>
    <mergeCell ref="AB56:AC56"/>
    <mergeCell ref="AE51:AF51"/>
    <mergeCell ref="AH51:AI51"/>
    <mergeCell ref="AW56:AX56"/>
    <mergeCell ref="AT56:AU56"/>
    <mergeCell ref="H56:J56"/>
    <mergeCell ref="M56:N56"/>
    <mergeCell ref="P56:Q56"/>
    <mergeCell ref="AZ56:BA56"/>
    <mergeCell ref="AH60:AI60"/>
    <mergeCell ref="AK60:AL60"/>
    <mergeCell ref="AN60:AO60"/>
    <mergeCell ref="AQ60:AR60"/>
    <mergeCell ref="AZ60:BA60"/>
    <mergeCell ref="AW51:AX51"/>
    <mergeCell ref="AT51:AU51"/>
    <mergeCell ref="AK51:AL51"/>
    <mergeCell ref="AN51:AO51"/>
    <mergeCell ref="AQ51:AR51"/>
    <mergeCell ref="AE60:AF60"/>
    <mergeCell ref="AH68:AI68"/>
    <mergeCell ref="V68:W68"/>
    <mergeCell ref="Y68:Z68"/>
    <mergeCell ref="AB68:AC68"/>
    <mergeCell ref="AE68:AF68"/>
    <mergeCell ref="AW60:AX60"/>
    <mergeCell ref="AQ56:AR56"/>
    <mergeCell ref="AK56:AL56"/>
    <mergeCell ref="S56:T56"/>
    <mergeCell ref="AE56:AF56"/>
    <mergeCell ref="AH56:AI56"/>
    <mergeCell ref="V56:W56"/>
    <mergeCell ref="Y56:Z56"/>
    <mergeCell ref="H51:J51"/>
    <mergeCell ref="AH45:AI45"/>
    <mergeCell ref="V45:W45"/>
    <mergeCell ref="Y45:Z45"/>
    <mergeCell ref="V51:W51"/>
    <mergeCell ref="Y51:Z51"/>
    <mergeCell ref="P51:Q51"/>
    <mergeCell ref="AB51:AC51"/>
    <mergeCell ref="S51:T51"/>
    <mergeCell ref="M51:N51"/>
    <mergeCell ref="AZ41:BA41"/>
    <mergeCell ref="AT41:AU41"/>
    <mergeCell ref="AW41:AX41"/>
    <mergeCell ref="AQ41:AR41"/>
    <mergeCell ref="H45:J45"/>
    <mergeCell ref="M45:N45"/>
    <mergeCell ref="P45:Q45"/>
    <mergeCell ref="S45:T45"/>
    <mergeCell ref="H41:J41"/>
    <mergeCell ref="M41:N41"/>
    <mergeCell ref="AN41:AO41"/>
    <mergeCell ref="AB45:AC45"/>
    <mergeCell ref="AE45:AF45"/>
    <mergeCell ref="V41:W41"/>
    <mergeCell ref="Y41:Z41"/>
    <mergeCell ref="AZ45:BA45"/>
    <mergeCell ref="AK45:AL45"/>
    <mergeCell ref="AN45:AO45"/>
    <mergeCell ref="AQ45:AR45"/>
    <mergeCell ref="AW45:AX45"/>
    <mergeCell ref="AT45:AU45"/>
    <mergeCell ref="AZ38:BA38"/>
    <mergeCell ref="AW38:AX38"/>
    <mergeCell ref="AT38:AU38"/>
    <mergeCell ref="AQ38:AR38"/>
    <mergeCell ref="AE31:AF31"/>
    <mergeCell ref="AE38:AF38"/>
    <mergeCell ref="AK38:AL38"/>
    <mergeCell ref="AN38:AO38"/>
    <mergeCell ref="AB31:AC31"/>
    <mergeCell ref="V38:W38"/>
    <mergeCell ref="Y38:Z38"/>
    <mergeCell ref="P41:Q41"/>
    <mergeCell ref="S41:T41"/>
    <mergeCell ref="AK31:AL31"/>
    <mergeCell ref="AN31:AO31"/>
    <mergeCell ref="AH38:AI38"/>
    <mergeCell ref="H38:J38"/>
    <mergeCell ref="M38:N38"/>
    <mergeCell ref="P38:Q38"/>
    <mergeCell ref="S38:T38"/>
    <mergeCell ref="H31:J31"/>
    <mergeCell ref="M31:N31"/>
    <mergeCell ref="P31:Q31"/>
    <mergeCell ref="AB38:AC38"/>
    <mergeCell ref="AE41:AF41"/>
    <mergeCell ref="AH41:AI41"/>
    <mergeCell ref="AK41:AL41"/>
    <mergeCell ref="AB41:AC41"/>
    <mergeCell ref="AQ23:AR23"/>
    <mergeCell ref="AT23:AU23"/>
    <mergeCell ref="AW23:AX23"/>
    <mergeCell ref="AZ31:BA31"/>
    <mergeCell ref="AW31:AX31"/>
    <mergeCell ref="AQ31:AR31"/>
    <mergeCell ref="AT31:AU31"/>
    <mergeCell ref="AK23:AL23"/>
    <mergeCell ref="AN23:AO23"/>
    <mergeCell ref="H23:J23"/>
    <mergeCell ref="M23:N23"/>
    <mergeCell ref="P23:Q23"/>
    <mergeCell ref="S23:T23"/>
    <mergeCell ref="V23:W23"/>
    <mergeCell ref="AZ14:BA14"/>
    <mergeCell ref="AZ23:BA23"/>
    <mergeCell ref="S31:T31"/>
    <mergeCell ref="AH31:AI31"/>
    <mergeCell ref="AB23:AC23"/>
    <mergeCell ref="AE23:AF23"/>
    <mergeCell ref="AH23:AI23"/>
    <mergeCell ref="Y23:Z23"/>
    <mergeCell ref="V31:W31"/>
    <mergeCell ref="Y31:Z31"/>
    <mergeCell ref="AT14:AU14"/>
    <mergeCell ref="AW14:AX14"/>
    <mergeCell ref="AH14:AI14"/>
    <mergeCell ref="V14:W14"/>
    <mergeCell ref="Y14:Z14"/>
    <mergeCell ref="AB14:AC14"/>
    <mergeCell ref="AK14:AL14"/>
    <mergeCell ref="AN14:AO14"/>
    <mergeCell ref="AQ14:AR14"/>
    <mergeCell ref="H14:J14"/>
    <mergeCell ref="M14:N14"/>
    <mergeCell ref="P14:Q14"/>
    <mergeCell ref="S14:T14"/>
    <mergeCell ref="AE14:AF14"/>
    <mergeCell ref="AB10:AB11"/>
    <mergeCell ref="AC10:AC11"/>
    <mergeCell ref="AE10:AE11"/>
    <mergeCell ref="AF10:AF11"/>
    <mergeCell ref="AZ9:BB9"/>
    <mergeCell ref="AQ9:AS9"/>
    <mergeCell ref="AT9:AV9"/>
    <mergeCell ref="AT10:AT11"/>
    <mergeCell ref="AU10:AU11"/>
    <mergeCell ref="AZ10:AZ11"/>
    <mergeCell ref="BA10:BA11"/>
    <mergeCell ref="AW10:AW11"/>
    <mergeCell ref="AX10:AX11"/>
    <mergeCell ref="AW9:AY9"/>
    <mergeCell ref="AQ10:AQ11"/>
    <mergeCell ref="AR10:AR11"/>
    <mergeCell ref="AE9:AG9"/>
    <mergeCell ref="Y9:AA9"/>
    <mergeCell ref="Y10:Y11"/>
    <mergeCell ref="Z10:Z11"/>
    <mergeCell ref="V9:X9"/>
    <mergeCell ref="AB9:AD9"/>
    <mergeCell ref="V10:V11"/>
    <mergeCell ref="W10:W11"/>
    <mergeCell ref="AN9:AP9"/>
    <mergeCell ref="AO10:AO11"/>
    <mergeCell ref="AH10:AH11"/>
    <mergeCell ref="AN10:AN11"/>
    <mergeCell ref="AK10:AK11"/>
    <mergeCell ref="AL10:AL11"/>
    <mergeCell ref="AH9:AJ9"/>
    <mergeCell ref="AI10:AI11"/>
    <mergeCell ref="AK9:AM9"/>
    <mergeCell ref="E5:K7"/>
    <mergeCell ref="G8:H8"/>
    <mergeCell ref="A9:A11"/>
    <mergeCell ref="B9:B11"/>
    <mergeCell ref="D9:D11"/>
    <mergeCell ref="E9:E11"/>
    <mergeCell ref="F9:F11"/>
    <mergeCell ref="G9:I10"/>
    <mergeCell ref="J9:K10"/>
    <mergeCell ref="C9:C11"/>
    <mergeCell ref="M9:O9"/>
    <mergeCell ref="P9:R9"/>
    <mergeCell ref="S9:U9"/>
    <mergeCell ref="M10:M11"/>
    <mergeCell ref="N10:N11"/>
    <mergeCell ref="P10:P11"/>
    <mergeCell ref="Q10:Q11"/>
    <mergeCell ref="S10:S11"/>
    <mergeCell ref="T10:T11"/>
  </mergeCells>
  <phoneticPr fontId="14" type="noConversion"/>
  <conditionalFormatting sqref="AW15">
    <cfRule type="cellIs" dxfId="4" priority="1" stopIfTrue="1" operator="greaterThanOrEqual">
      <formula>0.8</formula>
    </cfRule>
  </conditionalFormatting>
  <conditionalFormatting sqref="AW12">
    <cfRule type="cellIs" dxfId="3" priority="2" stopIfTrue="1" operator="greaterThanOrEqual">
      <formula>0.8</formula>
    </cfRule>
  </conditionalFormatting>
  <printOptions horizontalCentered="1"/>
  <pageMargins left="0.39370078740157483" right="0.39370078740157483" top="0.59055118110236227" bottom="0.59055118110236227" header="0.39370078740157483" footer="0.39370078740157483"/>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I136"/>
  <sheetViews>
    <sheetView view="pageBreakPreview" zoomScaleNormal="100" workbookViewId="0">
      <selection activeCell="I2" sqref="I2"/>
    </sheetView>
  </sheetViews>
  <sheetFormatPr defaultColWidth="9.140625" defaultRowHeight="12.75" x14ac:dyDescent="0.2"/>
  <cols>
    <col min="1" max="1" width="5.28515625" style="88" customWidth="1"/>
    <col min="2" max="2" width="22.28515625" style="67" bestFit="1" customWidth="1"/>
    <col min="3" max="3" width="57.42578125" style="67" customWidth="1"/>
    <col min="4" max="4" width="7.140625" style="67" customWidth="1"/>
    <col min="5" max="5" width="9.28515625" style="67" customWidth="1"/>
    <col min="6" max="6" width="9.140625" style="67"/>
    <col min="7" max="7" width="16.85546875" style="67" customWidth="1"/>
    <col min="8" max="11" width="9.140625" style="67"/>
    <col min="12" max="12" width="10.85546875" style="67" customWidth="1"/>
    <col min="13" max="14" width="11" style="67" customWidth="1"/>
    <col min="15" max="16384" width="9.140625" style="67"/>
  </cols>
  <sheetData>
    <row r="1" spans="1:9" x14ac:dyDescent="0.2">
      <c r="A1" s="684" t="s">
        <v>504</v>
      </c>
      <c r="B1" s="684"/>
      <c r="C1" s="684"/>
      <c r="D1" s="684"/>
      <c r="E1" s="684"/>
    </row>
    <row r="2" spans="1:9" x14ac:dyDescent="0.2">
      <c r="A2" s="684" t="s">
        <v>505</v>
      </c>
      <c r="B2" s="684"/>
      <c r="C2" s="684"/>
      <c r="D2" s="684"/>
      <c r="E2" s="684"/>
    </row>
    <row r="3" spans="1:9" x14ac:dyDescent="0.2">
      <c r="A3" s="69" t="s">
        <v>80</v>
      </c>
      <c r="B3" s="69" t="s">
        <v>506</v>
      </c>
      <c r="C3" s="393" t="s">
        <v>507</v>
      </c>
      <c r="D3" s="69" t="s">
        <v>508</v>
      </c>
      <c r="E3" s="69" t="s">
        <v>509</v>
      </c>
    </row>
    <row r="4" spans="1:9" x14ac:dyDescent="0.2">
      <c r="A4" s="72" t="s">
        <v>183</v>
      </c>
      <c r="B4" s="70" t="s">
        <v>704</v>
      </c>
      <c r="C4" s="71" t="s">
        <v>705</v>
      </c>
      <c r="D4" s="72" t="s">
        <v>512</v>
      </c>
      <c r="E4" s="73">
        <v>135.29</v>
      </c>
      <c r="F4" s="68">
        <f>ROUND(E4,2)</f>
        <v>135.29</v>
      </c>
      <c r="G4" s="67" t="s">
        <v>513</v>
      </c>
    </row>
    <row r="5" spans="1:9" ht="13.5" thickBot="1" x14ac:dyDescent="0.25">
      <c r="A5" s="687" t="s">
        <v>172</v>
      </c>
      <c r="B5" s="687"/>
      <c r="C5" s="687"/>
      <c r="D5" s="687"/>
      <c r="E5" s="687"/>
      <c r="F5" s="68">
        <f>ROUND(E5,2)</f>
        <v>0</v>
      </c>
    </row>
    <row r="6" spans="1:9" x14ac:dyDescent="0.2">
      <c r="A6" s="69" t="s">
        <v>80</v>
      </c>
      <c r="B6" s="69" t="s">
        <v>506</v>
      </c>
      <c r="C6" s="393" t="s">
        <v>507</v>
      </c>
      <c r="D6" s="69" t="s">
        <v>508</v>
      </c>
      <c r="E6" s="69" t="s">
        <v>509</v>
      </c>
      <c r="G6" s="81" t="s">
        <v>706</v>
      </c>
    </row>
    <row r="7" spans="1:9" ht="13.5" thickBot="1" x14ac:dyDescent="0.25">
      <c r="A7" s="72" t="s">
        <v>201</v>
      </c>
      <c r="B7" s="70" t="s">
        <v>548</v>
      </c>
      <c r="C7" s="71" t="s">
        <v>549</v>
      </c>
      <c r="D7" s="72" t="s">
        <v>528</v>
      </c>
      <c r="E7" s="79">
        <f>G7*0.7*0.7*0.7</f>
        <v>4.8019999999999987</v>
      </c>
      <c r="F7" s="68">
        <f t="shared" ref="F7:F14" si="0">ROUND(E7,2)</f>
        <v>4.8</v>
      </c>
      <c r="G7" s="82">
        <v>14</v>
      </c>
      <c r="H7" s="67" t="s">
        <v>513</v>
      </c>
    </row>
    <row r="8" spans="1:9" x14ac:dyDescent="0.2">
      <c r="A8" s="72" t="s">
        <v>205</v>
      </c>
      <c r="B8" s="70" t="s">
        <v>550</v>
      </c>
      <c r="C8" s="71" t="s">
        <v>551</v>
      </c>
      <c r="D8" s="72" t="s">
        <v>98</v>
      </c>
      <c r="E8" s="79">
        <f>(G7*0.7*0.7*0.7)+(G13*0.15)</f>
        <v>13.936999999999998</v>
      </c>
      <c r="F8" s="68">
        <f t="shared" si="0"/>
        <v>13.94</v>
      </c>
      <c r="G8" s="81" t="s">
        <v>707</v>
      </c>
      <c r="H8" s="67" t="s">
        <v>513</v>
      </c>
    </row>
    <row r="9" spans="1:9" x14ac:dyDescent="0.2">
      <c r="A9" s="72" t="s">
        <v>209</v>
      </c>
      <c r="B9" s="71" t="s">
        <v>552</v>
      </c>
      <c r="C9" s="251" t="s">
        <v>708</v>
      </c>
      <c r="D9" s="249" t="s">
        <v>528</v>
      </c>
      <c r="E9" s="356">
        <f>64*0.4</f>
        <v>25.6</v>
      </c>
      <c r="F9" s="68">
        <f t="shared" si="0"/>
        <v>25.6</v>
      </c>
      <c r="G9" s="311"/>
    </row>
    <row r="10" spans="1:9" ht="38.25" x14ac:dyDescent="0.2">
      <c r="A10" s="72" t="s">
        <v>213</v>
      </c>
      <c r="B10" s="344" t="s">
        <v>554</v>
      </c>
      <c r="C10" s="251" t="s">
        <v>708</v>
      </c>
      <c r="D10" s="249" t="s">
        <v>528</v>
      </c>
      <c r="E10" s="356">
        <f>64*0.4</f>
        <v>25.6</v>
      </c>
      <c r="F10" s="68">
        <f t="shared" si="0"/>
        <v>25.6</v>
      </c>
      <c r="G10" s="311"/>
      <c r="H10" s="67" t="s">
        <v>513</v>
      </c>
      <c r="I10" s="67">
        <f>1855*0.5</f>
        <v>927.5</v>
      </c>
    </row>
    <row r="11" spans="1:9" x14ac:dyDescent="0.2">
      <c r="A11" s="72" t="s">
        <v>217</v>
      </c>
      <c r="B11" s="70" t="s">
        <v>555</v>
      </c>
      <c r="C11" s="251"/>
      <c r="D11" s="249" t="s">
        <v>528</v>
      </c>
      <c r="E11" s="356">
        <f>64*0.4</f>
        <v>25.6</v>
      </c>
      <c r="F11" s="68">
        <f t="shared" si="0"/>
        <v>25.6</v>
      </c>
      <c r="G11" s="311"/>
    </row>
    <row r="12" spans="1:9" x14ac:dyDescent="0.2">
      <c r="A12" s="72" t="s">
        <v>222</v>
      </c>
      <c r="B12" s="343" t="s">
        <v>556</v>
      </c>
      <c r="C12" s="251"/>
      <c r="D12" s="249" t="s">
        <v>528</v>
      </c>
      <c r="E12" s="356">
        <f>64*0.4</f>
        <v>25.6</v>
      </c>
      <c r="F12" s="68">
        <f t="shared" si="0"/>
        <v>25.6</v>
      </c>
      <c r="G12" s="311"/>
    </row>
    <row r="13" spans="1:9" ht="13.5" thickBot="1" x14ac:dyDescent="0.25">
      <c r="A13" s="72" t="s">
        <v>709</v>
      </c>
      <c r="B13" s="74" t="s">
        <v>557</v>
      </c>
      <c r="C13" s="75" t="s">
        <v>558</v>
      </c>
      <c r="D13" s="76" t="s">
        <v>528</v>
      </c>
      <c r="E13" s="283">
        <f>E7/2</f>
        <v>2.4009999999999994</v>
      </c>
      <c r="F13" s="68">
        <f t="shared" si="0"/>
        <v>2.4</v>
      </c>
      <c r="G13" s="82">
        <v>60.9</v>
      </c>
      <c r="H13" s="67" t="s">
        <v>513</v>
      </c>
    </row>
    <row r="14" spans="1:9" x14ac:dyDescent="0.2">
      <c r="A14" s="687" t="s">
        <v>200</v>
      </c>
      <c r="B14" s="687"/>
      <c r="C14" s="687"/>
      <c r="D14" s="687"/>
      <c r="E14" s="687"/>
      <c r="F14" s="68">
        <f t="shared" si="0"/>
        <v>0</v>
      </c>
    </row>
    <row r="15" spans="1:9" x14ac:dyDescent="0.2">
      <c r="A15" s="69" t="s">
        <v>80</v>
      </c>
      <c r="B15" s="69" t="s">
        <v>506</v>
      </c>
      <c r="C15" s="393" t="s">
        <v>507</v>
      </c>
      <c r="D15" s="69" t="s">
        <v>508</v>
      </c>
      <c r="E15" s="69" t="s">
        <v>509</v>
      </c>
    </row>
    <row r="16" spans="1:9" x14ac:dyDescent="0.2">
      <c r="A16" s="306" t="s">
        <v>229</v>
      </c>
      <c r="B16" s="307" t="s">
        <v>710</v>
      </c>
      <c r="C16" s="308" t="s">
        <v>711</v>
      </c>
      <c r="D16" s="306" t="s">
        <v>119</v>
      </c>
      <c r="E16" s="310">
        <v>0</v>
      </c>
      <c r="F16" s="68">
        <f t="shared" ref="F16:F24" si="1">ROUND(E16,2)</f>
        <v>0</v>
      </c>
      <c r="G16" s="67" t="s">
        <v>513</v>
      </c>
    </row>
    <row r="17" spans="1:8" x14ac:dyDescent="0.2">
      <c r="A17" s="306" t="s">
        <v>233</v>
      </c>
      <c r="B17" s="74" t="s">
        <v>559</v>
      </c>
      <c r="C17" s="75" t="str">
        <f>C7</f>
        <v>Volume bloco de concreto</v>
      </c>
      <c r="D17" s="76" t="s">
        <v>528</v>
      </c>
      <c r="E17" s="283">
        <f>E8*0.05</f>
        <v>0.69684999999999997</v>
      </c>
      <c r="F17" s="68">
        <f t="shared" si="1"/>
        <v>0.7</v>
      </c>
      <c r="G17" s="67" t="s">
        <v>513</v>
      </c>
    </row>
    <row r="18" spans="1:8" x14ac:dyDescent="0.2">
      <c r="A18" s="306" t="s">
        <v>237</v>
      </c>
      <c r="B18" s="70" t="s">
        <v>570</v>
      </c>
      <c r="C18" s="71"/>
      <c r="D18" s="72" t="s">
        <v>528</v>
      </c>
      <c r="E18" s="79">
        <f>(0.6*0.6*0.6*G7)+(0.15*0.3*G13)</f>
        <v>5.7645</v>
      </c>
      <c r="F18" s="68">
        <f t="shared" si="1"/>
        <v>5.76</v>
      </c>
      <c r="G18" s="67" t="s">
        <v>513</v>
      </c>
    </row>
    <row r="19" spans="1:8" x14ac:dyDescent="0.2">
      <c r="A19" s="306" t="s">
        <v>241</v>
      </c>
      <c r="B19" s="264" t="s">
        <v>562</v>
      </c>
      <c r="C19" s="282" t="s">
        <v>563</v>
      </c>
      <c r="D19" s="72" t="s">
        <v>528</v>
      </c>
      <c r="E19" s="79">
        <f>E18</f>
        <v>5.7645</v>
      </c>
      <c r="F19" s="68">
        <f t="shared" si="1"/>
        <v>5.76</v>
      </c>
      <c r="G19" s="67" t="s">
        <v>513</v>
      </c>
    </row>
    <row r="20" spans="1:8" x14ac:dyDescent="0.2">
      <c r="A20" s="306" t="s">
        <v>242</v>
      </c>
      <c r="B20" s="70" t="s">
        <v>564</v>
      </c>
      <c r="C20" s="71"/>
      <c r="D20" s="72" t="s">
        <v>512</v>
      </c>
      <c r="E20" s="73">
        <f>(0.6*0.6*4*G7)+(0.3*2*G13)</f>
        <v>56.7</v>
      </c>
      <c r="F20" s="68">
        <f t="shared" si="1"/>
        <v>56.7</v>
      </c>
      <c r="G20" s="67" t="s">
        <v>513</v>
      </c>
    </row>
    <row r="21" spans="1:8" x14ac:dyDescent="0.2">
      <c r="A21" s="306" t="s">
        <v>712</v>
      </c>
      <c r="B21" s="70" t="s">
        <v>566</v>
      </c>
      <c r="C21" s="71"/>
      <c r="D21" s="72" t="s">
        <v>568</v>
      </c>
      <c r="E21" s="79">
        <f>E18*0.8*80</f>
        <v>368.928</v>
      </c>
      <c r="F21" s="68">
        <f t="shared" si="1"/>
        <v>368.93</v>
      </c>
      <c r="G21" s="67" t="s">
        <v>513</v>
      </c>
    </row>
    <row r="22" spans="1:8" x14ac:dyDescent="0.2">
      <c r="A22" s="306" t="s">
        <v>713</v>
      </c>
      <c r="B22" s="70" t="s">
        <v>569</v>
      </c>
      <c r="C22" s="71"/>
      <c r="D22" s="72" t="s">
        <v>568</v>
      </c>
      <c r="E22" s="79">
        <f>E18*0.2*80</f>
        <v>92.231999999999999</v>
      </c>
      <c r="F22" s="68">
        <f t="shared" si="1"/>
        <v>92.23</v>
      </c>
      <c r="G22" s="67" t="s">
        <v>513</v>
      </c>
    </row>
    <row r="23" spans="1:8" ht="13.5" thickBot="1" x14ac:dyDescent="0.25">
      <c r="A23" s="306" t="s">
        <v>714</v>
      </c>
      <c r="B23" s="307" t="s">
        <v>715</v>
      </c>
      <c r="C23" s="308"/>
      <c r="D23" s="306" t="s">
        <v>275</v>
      </c>
      <c r="E23" s="310">
        <v>0</v>
      </c>
      <c r="F23" s="68">
        <f t="shared" si="1"/>
        <v>0</v>
      </c>
      <c r="G23" s="67" t="s">
        <v>513</v>
      </c>
    </row>
    <row r="24" spans="1:8" x14ac:dyDescent="0.2">
      <c r="A24" s="687" t="s">
        <v>228</v>
      </c>
      <c r="B24" s="687"/>
      <c r="C24" s="687"/>
      <c r="D24" s="687"/>
      <c r="E24" s="687"/>
      <c r="F24" s="312">
        <f t="shared" si="1"/>
        <v>0</v>
      </c>
      <c r="G24" s="81" t="s">
        <v>716</v>
      </c>
    </row>
    <row r="25" spans="1:8" ht="13.5" thickBot="1" x14ac:dyDescent="0.25">
      <c r="A25" s="69" t="s">
        <v>80</v>
      </c>
      <c r="B25" s="69" t="s">
        <v>506</v>
      </c>
      <c r="C25" s="393" t="s">
        <v>507</v>
      </c>
      <c r="D25" s="69" t="s">
        <v>508</v>
      </c>
      <c r="E25" s="69" t="s">
        <v>509</v>
      </c>
      <c r="F25" s="312"/>
      <c r="G25" s="82">
        <v>14</v>
      </c>
    </row>
    <row r="26" spans="1:8" x14ac:dyDescent="0.2">
      <c r="A26" s="72" t="s">
        <v>245</v>
      </c>
      <c r="B26" s="70" t="s">
        <v>570</v>
      </c>
      <c r="C26" s="71"/>
      <c r="D26" s="72" t="s">
        <v>528</v>
      </c>
      <c r="E26" s="79">
        <f>(0.2*0.2*3*G25)+(0.15*0.25*G30)</f>
        <v>3.9637500000000001</v>
      </c>
      <c r="F26" s="68">
        <f t="shared" ref="F26:F31" si="2">ROUND(E26,2)</f>
        <v>3.96</v>
      </c>
      <c r="G26" s="81" t="s">
        <v>717</v>
      </c>
      <c r="H26" s="67" t="s">
        <v>513</v>
      </c>
    </row>
    <row r="27" spans="1:8" x14ac:dyDescent="0.2">
      <c r="A27" s="72" t="s">
        <v>578</v>
      </c>
      <c r="B27" s="264" t="s">
        <v>562</v>
      </c>
      <c r="C27" s="282" t="s">
        <v>563</v>
      </c>
      <c r="D27" s="72" t="s">
        <v>528</v>
      </c>
      <c r="E27" s="79">
        <f>E26</f>
        <v>3.9637500000000001</v>
      </c>
      <c r="F27" s="68">
        <f t="shared" si="2"/>
        <v>3.96</v>
      </c>
      <c r="G27" s="311"/>
    </row>
    <row r="28" spans="1:8" ht="13.5" thickBot="1" x14ac:dyDescent="0.25">
      <c r="A28" s="72" t="s">
        <v>581</v>
      </c>
      <c r="B28" s="70" t="s">
        <v>564</v>
      </c>
      <c r="C28" s="71"/>
      <c r="D28" s="72" t="s">
        <v>512</v>
      </c>
      <c r="E28" s="79">
        <f>(0.2*3*4*G25)+(101.8*0.15)+(0.25*2*G30)</f>
        <v>79.320000000000007</v>
      </c>
      <c r="F28" s="68">
        <f t="shared" si="2"/>
        <v>79.319999999999993</v>
      </c>
      <c r="G28" s="82">
        <v>0</v>
      </c>
      <c r="H28" s="67" t="s">
        <v>513</v>
      </c>
    </row>
    <row r="29" spans="1:8" x14ac:dyDescent="0.2">
      <c r="A29" s="72" t="s">
        <v>583</v>
      </c>
      <c r="B29" s="70" t="s">
        <v>566</v>
      </c>
      <c r="C29" s="71"/>
      <c r="D29" s="72" t="s">
        <v>568</v>
      </c>
      <c r="E29" s="79">
        <f>E26*0.8*80</f>
        <v>253.68</v>
      </c>
      <c r="F29" s="68">
        <f t="shared" si="2"/>
        <v>253.68</v>
      </c>
      <c r="G29" s="81" t="s">
        <v>718</v>
      </c>
      <c r="H29" s="67" t="s">
        <v>513</v>
      </c>
    </row>
    <row r="30" spans="1:8" ht="13.5" thickBot="1" x14ac:dyDescent="0.25">
      <c r="A30" s="72" t="s">
        <v>719</v>
      </c>
      <c r="B30" s="70" t="s">
        <v>569</v>
      </c>
      <c r="C30" s="71"/>
      <c r="D30" s="72" t="s">
        <v>568</v>
      </c>
      <c r="E30" s="79">
        <f>E26*0.2*80</f>
        <v>63.42</v>
      </c>
      <c r="F30" s="68">
        <f t="shared" si="2"/>
        <v>63.42</v>
      </c>
      <c r="G30" s="82">
        <f>G13</f>
        <v>60.9</v>
      </c>
      <c r="H30" s="67" t="s">
        <v>513</v>
      </c>
    </row>
    <row r="31" spans="1:8" x14ac:dyDescent="0.2">
      <c r="A31" s="684" t="s">
        <v>575</v>
      </c>
      <c r="B31" s="684"/>
      <c r="C31" s="687"/>
      <c r="D31" s="687"/>
      <c r="E31" s="687"/>
      <c r="F31" s="68">
        <f t="shared" si="2"/>
        <v>0</v>
      </c>
    </row>
    <row r="32" spans="1:8" x14ac:dyDescent="0.2">
      <c r="A32" s="69" t="s">
        <v>80</v>
      </c>
      <c r="B32" s="69" t="s">
        <v>506</v>
      </c>
      <c r="C32" s="393" t="s">
        <v>507</v>
      </c>
      <c r="D32" s="69" t="s">
        <v>508</v>
      </c>
      <c r="E32" s="69" t="s">
        <v>509</v>
      </c>
      <c r="F32" s="68"/>
      <c r="G32" s="313"/>
    </row>
    <row r="33" spans="1:7" x14ac:dyDescent="0.2">
      <c r="A33" s="72" t="s">
        <v>251</v>
      </c>
      <c r="B33" s="70" t="s">
        <v>576</v>
      </c>
      <c r="C33" s="71" t="s">
        <v>577</v>
      </c>
      <c r="D33" s="72" t="s">
        <v>512</v>
      </c>
      <c r="E33" s="79">
        <v>0</v>
      </c>
      <c r="F33" s="68">
        <f>ROUND(E33,2)</f>
        <v>0</v>
      </c>
      <c r="G33" s="314" t="s">
        <v>513</v>
      </c>
    </row>
    <row r="34" spans="1:7" x14ac:dyDescent="0.2">
      <c r="A34" s="72" t="s">
        <v>255</v>
      </c>
      <c r="B34" s="70" t="s">
        <v>579</v>
      </c>
      <c r="C34" s="71" t="s">
        <v>720</v>
      </c>
      <c r="D34" s="72" t="s">
        <v>512</v>
      </c>
      <c r="E34" s="79">
        <f>E20*0.75</f>
        <v>42.525000000000006</v>
      </c>
      <c r="F34" s="68">
        <f>ROUND(E34,2)</f>
        <v>42.53</v>
      </c>
      <c r="G34" s="314" t="s">
        <v>513</v>
      </c>
    </row>
    <row r="35" spans="1:7" x14ac:dyDescent="0.2">
      <c r="A35" s="72" t="s">
        <v>259</v>
      </c>
      <c r="B35" s="70" t="s">
        <v>582</v>
      </c>
      <c r="C35" s="71" t="s">
        <v>577</v>
      </c>
      <c r="D35" s="72" t="s">
        <v>512</v>
      </c>
      <c r="E35" s="79">
        <v>0</v>
      </c>
      <c r="F35" s="68">
        <f>ROUND(E35,2)</f>
        <v>0</v>
      </c>
      <c r="G35" s="314" t="s">
        <v>513</v>
      </c>
    </row>
    <row r="36" spans="1:7" x14ac:dyDescent="0.2">
      <c r="A36" s="72" t="s">
        <v>697</v>
      </c>
      <c r="B36" s="70" t="s">
        <v>584</v>
      </c>
      <c r="C36" s="71" t="s">
        <v>577</v>
      </c>
      <c r="D36" s="72" t="s">
        <v>512</v>
      </c>
      <c r="E36" s="79">
        <v>0</v>
      </c>
      <c r="F36" s="68">
        <f>ROUND(E36,2)</f>
        <v>0</v>
      </c>
      <c r="G36" s="314" t="s">
        <v>513</v>
      </c>
    </row>
    <row r="37" spans="1:7" x14ac:dyDescent="0.2">
      <c r="A37" s="687" t="s">
        <v>250</v>
      </c>
      <c r="B37" s="687"/>
      <c r="C37" s="687"/>
      <c r="D37" s="687"/>
      <c r="E37" s="687"/>
      <c r="F37" s="68">
        <f>ROUND(E37,2)</f>
        <v>0</v>
      </c>
    </row>
    <row r="38" spans="1:7" x14ac:dyDescent="0.2">
      <c r="A38" s="69" t="s">
        <v>80</v>
      </c>
      <c r="B38" s="69" t="s">
        <v>506</v>
      </c>
      <c r="C38" s="393" t="s">
        <v>507</v>
      </c>
      <c r="D38" s="69" t="s">
        <v>508</v>
      </c>
      <c r="E38" s="69" t="s">
        <v>509</v>
      </c>
      <c r="F38" s="68"/>
    </row>
    <row r="39" spans="1:7" x14ac:dyDescent="0.2">
      <c r="A39" s="72" t="s">
        <v>265</v>
      </c>
      <c r="B39" s="70" t="s">
        <v>585</v>
      </c>
      <c r="C39" s="71" t="s">
        <v>721</v>
      </c>
      <c r="D39" s="72" t="s">
        <v>512</v>
      </c>
      <c r="E39" s="79">
        <f>(44.6*3)</f>
        <v>133.80000000000001</v>
      </c>
      <c r="F39" s="68">
        <f>ROUND(E39,2)</f>
        <v>133.80000000000001</v>
      </c>
      <c r="G39" s="67" t="s">
        <v>513</v>
      </c>
    </row>
    <row r="40" spans="1:7" x14ac:dyDescent="0.2">
      <c r="A40" s="72" t="s">
        <v>269</v>
      </c>
      <c r="B40" s="70" t="s">
        <v>587</v>
      </c>
      <c r="C40" s="71" t="s">
        <v>588</v>
      </c>
      <c r="D40" s="72" t="s">
        <v>512</v>
      </c>
      <c r="E40" s="73">
        <v>0</v>
      </c>
      <c r="F40" s="68">
        <f>ROUND(E40,2)</f>
        <v>0</v>
      </c>
      <c r="G40" s="67" t="s">
        <v>513</v>
      </c>
    </row>
    <row r="41" spans="1:7" x14ac:dyDescent="0.2">
      <c r="A41" s="76" t="s">
        <v>271</v>
      </c>
      <c r="B41" s="74" t="s">
        <v>589</v>
      </c>
      <c r="C41" s="75" t="s">
        <v>590</v>
      </c>
      <c r="D41" s="76" t="s">
        <v>119</v>
      </c>
      <c r="E41" s="77">
        <f>(E56*2.9+E57*1.9+7*1.2)*2*0.1*0.12</f>
        <v>0.84479999999999988</v>
      </c>
      <c r="F41" s="68">
        <f>ROUND(E41,2)</f>
        <v>0.84</v>
      </c>
      <c r="G41" s="67" t="s">
        <v>513</v>
      </c>
    </row>
    <row r="42" spans="1:7" x14ac:dyDescent="0.2">
      <c r="A42" s="686" t="s">
        <v>264</v>
      </c>
      <c r="B42" s="686"/>
      <c r="C42" s="686"/>
      <c r="D42" s="686"/>
      <c r="E42" s="686"/>
      <c r="F42" s="68">
        <f>ROUND(E42,2)</f>
        <v>0</v>
      </c>
    </row>
    <row r="43" spans="1:7" x14ac:dyDescent="0.2">
      <c r="A43" s="69" t="s">
        <v>80</v>
      </c>
      <c r="B43" s="69" t="s">
        <v>506</v>
      </c>
      <c r="C43" s="393" t="s">
        <v>507</v>
      </c>
      <c r="D43" s="69" t="s">
        <v>508</v>
      </c>
      <c r="E43" s="69" t="s">
        <v>509</v>
      </c>
      <c r="F43" s="68"/>
    </row>
    <row r="44" spans="1:7" x14ac:dyDescent="0.2">
      <c r="A44" s="72" t="s">
        <v>298</v>
      </c>
      <c r="B44" s="70" t="s">
        <v>722</v>
      </c>
      <c r="C44" s="71" t="s">
        <v>723</v>
      </c>
      <c r="D44" s="72" t="s">
        <v>275</v>
      </c>
      <c r="E44" s="73">
        <v>161.97999999999999</v>
      </c>
      <c r="F44" s="68">
        <f>ROUND(E44,2)</f>
        <v>161.97999999999999</v>
      </c>
      <c r="G44" s="67" t="s">
        <v>513</v>
      </c>
    </row>
    <row r="45" spans="1:7" x14ac:dyDescent="0.2">
      <c r="A45" s="72" t="s">
        <v>300</v>
      </c>
      <c r="B45" s="70" t="s">
        <v>724</v>
      </c>
      <c r="C45" s="71" t="s">
        <v>723</v>
      </c>
      <c r="D45" s="72" t="s">
        <v>98</v>
      </c>
      <c r="E45" s="73">
        <v>161.97999999999999</v>
      </c>
      <c r="F45" s="68">
        <f>ROUND(E45,2)</f>
        <v>161.97999999999999</v>
      </c>
      <c r="G45" s="67" t="s">
        <v>513</v>
      </c>
    </row>
    <row r="46" spans="1:7" x14ac:dyDescent="0.2">
      <c r="A46" s="72" t="s">
        <v>302</v>
      </c>
      <c r="B46" s="70" t="s">
        <v>725</v>
      </c>
      <c r="C46" s="71" t="s">
        <v>726</v>
      </c>
      <c r="D46" s="72" t="s">
        <v>727</v>
      </c>
      <c r="E46" s="73">
        <v>27.54</v>
      </c>
      <c r="F46" s="68">
        <f>ROUND(E46,2)</f>
        <v>27.54</v>
      </c>
      <c r="G46" s="67" t="s">
        <v>513</v>
      </c>
    </row>
    <row r="47" spans="1:7" ht="13.5" thickBot="1" x14ac:dyDescent="0.25">
      <c r="A47" s="72" t="s">
        <v>304</v>
      </c>
      <c r="B47" s="70" t="s">
        <v>600</v>
      </c>
      <c r="C47" s="71" t="s">
        <v>726</v>
      </c>
      <c r="D47" s="72" t="s">
        <v>727</v>
      </c>
      <c r="E47" s="73">
        <v>53.1</v>
      </c>
      <c r="F47" s="68">
        <f>ROUND(E47,2)</f>
        <v>53.1</v>
      </c>
      <c r="G47" s="67" t="s">
        <v>513</v>
      </c>
    </row>
    <row r="48" spans="1:7" x14ac:dyDescent="0.2">
      <c r="A48" s="686" t="s">
        <v>297</v>
      </c>
      <c r="B48" s="686"/>
      <c r="C48" s="686"/>
      <c r="D48" s="686"/>
      <c r="E48" s="686"/>
      <c r="F48" s="68">
        <f>ROUND(E48,2)</f>
        <v>0</v>
      </c>
      <c r="G48" s="81" t="s">
        <v>603</v>
      </c>
    </row>
    <row r="49" spans="1:8" ht="13.5" thickBot="1" x14ac:dyDescent="0.25">
      <c r="A49" s="69" t="s">
        <v>80</v>
      </c>
      <c r="B49" s="69" t="s">
        <v>506</v>
      </c>
      <c r="C49" s="393" t="s">
        <v>507</v>
      </c>
      <c r="D49" s="69" t="s">
        <v>508</v>
      </c>
      <c r="E49" s="69" t="s">
        <v>509</v>
      </c>
      <c r="F49" s="68"/>
      <c r="G49" s="82">
        <v>0</v>
      </c>
    </row>
    <row r="50" spans="1:8" x14ac:dyDescent="0.2">
      <c r="A50" s="72" t="s">
        <v>316</v>
      </c>
      <c r="B50" s="70" t="s">
        <v>603</v>
      </c>
      <c r="C50" s="71"/>
      <c r="D50" s="72" t="s">
        <v>512</v>
      </c>
      <c r="E50" s="79">
        <f>G49*0.9*2.1</f>
        <v>0</v>
      </c>
      <c r="F50" s="68">
        <f t="shared" ref="F50:F60" si="3">ROUND(E50,2)</f>
        <v>0</v>
      </c>
      <c r="G50" s="81" t="s">
        <v>605</v>
      </c>
      <c r="H50" s="67" t="s">
        <v>513</v>
      </c>
    </row>
    <row r="51" spans="1:8" ht="13.5" thickBot="1" x14ac:dyDescent="0.25">
      <c r="A51" s="72" t="s">
        <v>320</v>
      </c>
      <c r="B51" s="70" t="s">
        <v>606</v>
      </c>
      <c r="C51" s="71" t="s">
        <v>728</v>
      </c>
      <c r="D51" s="72" t="s">
        <v>512</v>
      </c>
      <c r="E51" s="79">
        <f>G51*0.9*2.1</f>
        <v>3.7800000000000002</v>
      </c>
      <c r="F51" s="68">
        <f t="shared" si="3"/>
        <v>3.78</v>
      </c>
      <c r="G51" s="82">
        <v>2</v>
      </c>
      <c r="H51" s="67" t="s">
        <v>513</v>
      </c>
    </row>
    <row r="52" spans="1:8" x14ac:dyDescent="0.2">
      <c r="A52" s="72" t="s">
        <v>324</v>
      </c>
      <c r="B52" s="70" t="s">
        <v>608</v>
      </c>
      <c r="C52" s="71"/>
      <c r="D52" s="72" t="s">
        <v>512</v>
      </c>
      <c r="E52" s="79">
        <f>G55*0.8*2.1</f>
        <v>0</v>
      </c>
      <c r="F52" s="68">
        <f t="shared" si="3"/>
        <v>0</v>
      </c>
      <c r="G52" s="81" t="s">
        <v>610</v>
      </c>
      <c r="H52" s="67" t="s">
        <v>513</v>
      </c>
    </row>
    <row r="53" spans="1:8" ht="13.5" thickBot="1" x14ac:dyDescent="0.25">
      <c r="A53" s="72" t="s">
        <v>328</v>
      </c>
      <c r="B53" s="70" t="s">
        <v>611</v>
      </c>
      <c r="C53" s="71"/>
      <c r="D53" s="72" t="s">
        <v>512</v>
      </c>
      <c r="E53" s="79">
        <f>G57*0.7*2.1</f>
        <v>0</v>
      </c>
      <c r="F53" s="68">
        <f t="shared" si="3"/>
        <v>0</v>
      </c>
      <c r="G53" s="82">
        <v>0</v>
      </c>
      <c r="H53" s="67" t="s">
        <v>513</v>
      </c>
    </row>
    <row r="54" spans="1:8" x14ac:dyDescent="0.2">
      <c r="A54" s="72" t="s">
        <v>332</v>
      </c>
      <c r="B54" s="70" t="s">
        <v>612</v>
      </c>
      <c r="C54" s="71" t="s">
        <v>729</v>
      </c>
      <c r="D54" s="78" t="s">
        <v>110</v>
      </c>
      <c r="E54" s="73">
        <v>0</v>
      </c>
      <c r="F54" s="68">
        <f t="shared" si="3"/>
        <v>0</v>
      </c>
      <c r="G54" s="81" t="s">
        <v>608</v>
      </c>
      <c r="H54" s="67" t="s">
        <v>513</v>
      </c>
    </row>
    <row r="55" spans="1:8" ht="13.5" thickBot="1" x14ac:dyDescent="0.25">
      <c r="A55" s="72" t="s">
        <v>336</v>
      </c>
      <c r="B55" s="70" t="s">
        <v>614</v>
      </c>
      <c r="C55" s="71" t="s">
        <v>615</v>
      </c>
      <c r="D55" s="72" t="s">
        <v>98</v>
      </c>
      <c r="E55" s="73">
        <f>G53*0.6*1.7</f>
        <v>0</v>
      </c>
      <c r="F55" s="68">
        <f t="shared" si="3"/>
        <v>0</v>
      </c>
      <c r="G55" s="82">
        <v>0</v>
      </c>
      <c r="H55" s="67" t="s">
        <v>513</v>
      </c>
    </row>
    <row r="56" spans="1:8" x14ac:dyDescent="0.2">
      <c r="A56" s="72" t="s">
        <v>730</v>
      </c>
      <c r="B56" s="70" t="s">
        <v>616</v>
      </c>
      <c r="C56" s="71" t="s">
        <v>731</v>
      </c>
      <c r="D56" s="78" t="s">
        <v>110</v>
      </c>
      <c r="E56" s="73">
        <v>4</v>
      </c>
      <c r="F56" s="68">
        <f>ROUND(E56,2)</f>
        <v>4</v>
      </c>
      <c r="G56" s="81" t="s">
        <v>618</v>
      </c>
      <c r="H56" s="67" t="s">
        <v>513</v>
      </c>
    </row>
    <row r="57" spans="1:8" ht="13.5" thickBot="1" x14ac:dyDescent="0.25">
      <c r="A57" s="72" t="s">
        <v>732</v>
      </c>
      <c r="B57" s="70" t="s">
        <v>619</v>
      </c>
      <c r="C57" s="71" t="s">
        <v>731</v>
      </c>
      <c r="D57" s="78" t="s">
        <v>110</v>
      </c>
      <c r="E57" s="73">
        <v>8</v>
      </c>
      <c r="F57" s="68">
        <f>ROUND(E57,2)</f>
        <v>8</v>
      </c>
      <c r="G57" s="82">
        <v>0</v>
      </c>
      <c r="H57" s="67" t="s">
        <v>513</v>
      </c>
    </row>
    <row r="58" spans="1:8" x14ac:dyDescent="0.2">
      <c r="A58" s="72" t="s">
        <v>733</v>
      </c>
      <c r="B58" s="70" t="s">
        <v>622</v>
      </c>
      <c r="C58" s="71" t="s">
        <v>731</v>
      </c>
      <c r="D58" s="78" t="s">
        <v>110</v>
      </c>
      <c r="E58" s="73">
        <v>0</v>
      </c>
      <c r="F58" s="68">
        <f t="shared" si="3"/>
        <v>0</v>
      </c>
      <c r="H58" s="67" t="s">
        <v>513</v>
      </c>
    </row>
    <row r="59" spans="1:8" x14ac:dyDescent="0.2">
      <c r="A59" s="72" t="s">
        <v>734</v>
      </c>
      <c r="B59" s="70" t="s">
        <v>735</v>
      </c>
      <c r="C59" s="71" t="s">
        <v>731</v>
      </c>
      <c r="D59" s="78" t="s">
        <v>110</v>
      </c>
      <c r="E59" s="73">
        <v>0</v>
      </c>
      <c r="F59" s="68">
        <f t="shared" si="3"/>
        <v>0</v>
      </c>
      <c r="H59" s="67" t="s">
        <v>513</v>
      </c>
    </row>
    <row r="60" spans="1:8" x14ac:dyDescent="0.2">
      <c r="A60" s="686" t="s">
        <v>315</v>
      </c>
      <c r="B60" s="686"/>
      <c r="C60" s="686"/>
      <c r="D60" s="686"/>
      <c r="E60" s="686"/>
      <c r="F60" s="68">
        <f t="shared" si="3"/>
        <v>0</v>
      </c>
    </row>
    <row r="61" spans="1:8" x14ac:dyDescent="0.2">
      <c r="A61" s="69" t="s">
        <v>80</v>
      </c>
      <c r="B61" s="69" t="s">
        <v>506</v>
      </c>
      <c r="C61" s="393" t="s">
        <v>507</v>
      </c>
      <c r="D61" s="69" t="s">
        <v>508</v>
      </c>
      <c r="E61" s="69" t="s">
        <v>509</v>
      </c>
      <c r="F61" s="68"/>
    </row>
    <row r="62" spans="1:8" x14ac:dyDescent="0.2">
      <c r="A62" s="76" t="s">
        <v>342</v>
      </c>
      <c r="B62" s="74" t="s">
        <v>624</v>
      </c>
      <c r="C62" s="75" t="s">
        <v>736</v>
      </c>
      <c r="D62" s="76" t="s">
        <v>512</v>
      </c>
      <c r="E62" s="77">
        <f>(E39+E40)*2+E28*0.9</f>
        <v>338.98800000000006</v>
      </c>
      <c r="F62" s="68">
        <f>ROUND(E62,2)</f>
        <v>338.99</v>
      </c>
      <c r="G62" s="67" t="s">
        <v>513</v>
      </c>
    </row>
    <row r="63" spans="1:8" x14ac:dyDescent="0.2">
      <c r="A63" s="76" t="s">
        <v>346</v>
      </c>
      <c r="B63" s="74" t="s">
        <v>626</v>
      </c>
      <c r="C63" s="75" t="s">
        <v>736</v>
      </c>
      <c r="D63" s="76" t="s">
        <v>512</v>
      </c>
      <c r="E63" s="77">
        <f>E62</f>
        <v>338.98800000000006</v>
      </c>
      <c r="F63" s="68">
        <f>ROUND(E63,2)</f>
        <v>338.99</v>
      </c>
      <c r="G63" s="67" t="s">
        <v>513</v>
      </c>
    </row>
    <row r="64" spans="1:8" x14ac:dyDescent="0.2">
      <c r="A64" s="72" t="s">
        <v>350</v>
      </c>
      <c r="B64" s="70" t="s">
        <v>627</v>
      </c>
      <c r="C64" s="71"/>
      <c r="D64" s="72" t="s">
        <v>512</v>
      </c>
      <c r="E64" s="73">
        <v>0</v>
      </c>
      <c r="F64" s="68">
        <f>ROUND(E64,2)</f>
        <v>0</v>
      </c>
      <c r="G64" s="67" t="s">
        <v>513</v>
      </c>
    </row>
    <row r="65" spans="1:8" x14ac:dyDescent="0.2">
      <c r="A65" s="687" t="s">
        <v>341</v>
      </c>
      <c r="B65" s="687"/>
      <c r="C65" s="687"/>
      <c r="D65" s="687"/>
      <c r="E65" s="687"/>
      <c r="F65" s="68">
        <f>ROUND(E65,2)</f>
        <v>0</v>
      </c>
      <c r="G65" s="83"/>
    </row>
    <row r="66" spans="1:8" x14ac:dyDescent="0.2">
      <c r="A66" s="69" t="s">
        <v>80</v>
      </c>
      <c r="B66" s="69" t="s">
        <v>506</v>
      </c>
      <c r="C66" s="393" t="s">
        <v>507</v>
      </c>
      <c r="D66" s="69" t="s">
        <v>508</v>
      </c>
      <c r="E66" s="69" t="s">
        <v>509</v>
      </c>
      <c r="F66" s="68"/>
    </row>
    <row r="67" spans="1:8" x14ac:dyDescent="0.2">
      <c r="A67" s="76" t="s">
        <v>316</v>
      </c>
      <c r="B67" s="70" t="s">
        <v>737</v>
      </c>
      <c r="C67" s="71" t="s">
        <v>738</v>
      </c>
      <c r="D67" s="72" t="s">
        <v>512</v>
      </c>
      <c r="E67" s="73">
        <f>(48*2)+(16.3*2)</f>
        <v>128.6</v>
      </c>
      <c r="F67" s="68">
        <f t="shared" ref="F67:F72" si="4">ROUND(E67,2)</f>
        <v>128.6</v>
      </c>
      <c r="G67" s="67" t="s">
        <v>513</v>
      </c>
    </row>
    <row r="68" spans="1:8" x14ac:dyDescent="0.2">
      <c r="A68" s="76" t="s">
        <v>320</v>
      </c>
      <c r="B68" s="70" t="s">
        <v>635</v>
      </c>
      <c r="C68" s="71" t="s">
        <v>738</v>
      </c>
      <c r="D68" s="72" t="s">
        <v>512</v>
      </c>
      <c r="E68" s="73">
        <f>(48*2)+(16.3*2)</f>
        <v>128.6</v>
      </c>
      <c r="F68" s="68">
        <f t="shared" si="4"/>
        <v>128.6</v>
      </c>
      <c r="G68" s="67" t="s">
        <v>513</v>
      </c>
    </row>
    <row r="69" spans="1:8" x14ac:dyDescent="0.2">
      <c r="A69" s="76" t="s">
        <v>324</v>
      </c>
      <c r="B69" s="74" t="s">
        <v>641</v>
      </c>
      <c r="C69" s="75" t="s">
        <v>739</v>
      </c>
      <c r="D69" s="72" t="s">
        <v>512</v>
      </c>
      <c r="E69" s="77">
        <f>E70</f>
        <v>128.6</v>
      </c>
      <c r="F69" s="68">
        <f t="shared" si="4"/>
        <v>128.6</v>
      </c>
      <c r="G69" s="67" t="s">
        <v>513</v>
      </c>
    </row>
    <row r="70" spans="1:8" x14ac:dyDescent="0.2">
      <c r="A70" s="72" t="s">
        <v>740</v>
      </c>
      <c r="B70" s="70" t="s">
        <v>643</v>
      </c>
      <c r="C70" s="71" t="s">
        <v>731</v>
      </c>
      <c r="D70" s="72" t="s">
        <v>644</v>
      </c>
      <c r="E70" s="73">
        <f>(48*2)+(16.3*2)</f>
        <v>128.6</v>
      </c>
      <c r="F70" s="68">
        <f t="shared" si="4"/>
        <v>128.6</v>
      </c>
      <c r="G70" s="67" t="s">
        <v>513</v>
      </c>
      <c r="H70" s="83"/>
    </row>
    <row r="71" spans="1:8" x14ac:dyDescent="0.2">
      <c r="A71" s="72" t="s">
        <v>741</v>
      </c>
      <c r="B71" s="70" t="s">
        <v>742</v>
      </c>
      <c r="C71" s="71" t="s">
        <v>742</v>
      </c>
      <c r="D71" s="72" t="s">
        <v>644</v>
      </c>
      <c r="E71" s="73">
        <f>(48*2)+(16.3*2)</f>
        <v>128.6</v>
      </c>
      <c r="F71" s="68">
        <f t="shared" si="4"/>
        <v>128.6</v>
      </c>
      <c r="G71" s="67" t="s">
        <v>513</v>
      </c>
      <c r="H71" s="83"/>
    </row>
    <row r="72" spans="1:8" x14ac:dyDescent="0.2">
      <c r="A72" s="72" t="s">
        <v>743</v>
      </c>
      <c r="B72" s="70" t="s">
        <v>744</v>
      </c>
      <c r="C72" s="71" t="s">
        <v>745</v>
      </c>
      <c r="D72" s="72" t="s">
        <v>275</v>
      </c>
      <c r="E72" s="73">
        <f>(28*2+16.3)*1.1</f>
        <v>79.53</v>
      </c>
      <c r="F72" s="68">
        <f t="shared" si="4"/>
        <v>79.53</v>
      </c>
      <c r="G72" s="67" t="s">
        <v>513</v>
      </c>
    </row>
    <row r="73" spans="1:8" x14ac:dyDescent="0.2">
      <c r="A73" s="687" t="s">
        <v>375</v>
      </c>
      <c r="B73" s="687"/>
      <c r="C73" s="687"/>
      <c r="D73" s="687"/>
      <c r="E73" s="687"/>
      <c r="F73" s="68"/>
    </row>
    <row r="74" spans="1:8" x14ac:dyDescent="0.2">
      <c r="A74" s="69" t="s">
        <v>80</v>
      </c>
      <c r="B74" s="69" t="s">
        <v>506</v>
      </c>
      <c r="C74" s="393" t="s">
        <v>507</v>
      </c>
      <c r="D74" s="69" t="s">
        <v>508</v>
      </c>
      <c r="E74" s="69" t="s">
        <v>509</v>
      </c>
      <c r="F74" s="68"/>
    </row>
    <row r="75" spans="1:8" x14ac:dyDescent="0.2">
      <c r="A75" s="72" t="s">
        <v>386</v>
      </c>
      <c r="B75" s="70" t="s">
        <v>651</v>
      </c>
      <c r="C75" s="71" t="s">
        <v>652</v>
      </c>
      <c r="D75" s="72" t="s">
        <v>98</v>
      </c>
      <c r="E75" s="73">
        <f>E44</f>
        <v>161.97999999999999</v>
      </c>
      <c r="F75" s="68">
        <f>ROUND(E75,2)</f>
        <v>161.97999999999999</v>
      </c>
      <c r="G75" s="67" t="s">
        <v>513</v>
      </c>
    </row>
    <row r="76" spans="1:8" x14ac:dyDescent="0.2">
      <c r="A76" s="72" t="s">
        <v>700</v>
      </c>
      <c r="B76" s="70" t="s">
        <v>653</v>
      </c>
      <c r="C76" s="71" t="s">
        <v>654</v>
      </c>
      <c r="D76" s="72" t="s">
        <v>98</v>
      </c>
      <c r="E76" s="79">
        <v>0</v>
      </c>
      <c r="F76" s="68">
        <f>ROUND(E76,2)</f>
        <v>0</v>
      </c>
      <c r="G76" s="67" t="s">
        <v>513</v>
      </c>
    </row>
    <row r="77" spans="1:8" x14ac:dyDescent="0.2">
      <c r="A77" s="686" t="s">
        <v>385</v>
      </c>
      <c r="B77" s="686"/>
      <c r="C77" s="686"/>
      <c r="D77" s="686"/>
      <c r="E77" s="686"/>
      <c r="F77" s="68"/>
    </row>
    <row r="78" spans="1:8" x14ac:dyDescent="0.2">
      <c r="A78" s="69" t="s">
        <v>80</v>
      </c>
      <c r="B78" s="69" t="s">
        <v>506</v>
      </c>
      <c r="C78" s="393" t="s">
        <v>507</v>
      </c>
      <c r="D78" s="69" t="s">
        <v>508</v>
      </c>
      <c r="E78" s="69" t="s">
        <v>509</v>
      </c>
      <c r="F78" s="68"/>
    </row>
    <row r="79" spans="1:8" x14ac:dyDescent="0.2">
      <c r="A79" s="76" t="s">
        <v>392</v>
      </c>
      <c r="B79" s="74" t="s">
        <v>655</v>
      </c>
      <c r="C79" s="75" t="s">
        <v>656</v>
      </c>
      <c r="D79" s="76" t="s">
        <v>98</v>
      </c>
      <c r="E79" s="77">
        <f>(E56*2*1.2)+(E57*1*0.6)+(E58*0.6*0.4)+(E59*0.6*0.6)</f>
        <v>14.399999999999999</v>
      </c>
      <c r="F79" s="68">
        <f>ROUND(E79,2)</f>
        <v>14.4</v>
      </c>
      <c r="G79" s="67" t="s">
        <v>513</v>
      </c>
    </row>
    <row r="80" spans="1:8" x14ac:dyDescent="0.2">
      <c r="A80" s="686" t="s">
        <v>391</v>
      </c>
      <c r="B80" s="686"/>
      <c r="C80" s="686"/>
      <c r="D80" s="686"/>
      <c r="E80" s="686"/>
      <c r="F80" s="68"/>
    </row>
    <row r="81" spans="1:8" x14ac:dyDescent="0.2">
      <c r="A81" s="69" t="s">
        <v>80</v>
      </c>
      <c r="B81" s="69" t="s">
        <v>506</v>
      </c>
      <c r="C81" s="393" t="s">
        <v>507</v>
      </c>
      <c r="D81" s="69" t="s">
        <v>508</v>
      </c>
      <c r="E81" s="69" t="s">
        <v>509</v>
      </c>
      <c r="F81" s="68"/>
    </row>
    <row r="82" spans="1:8" x14ac:dyDescent="0.2">
      <c r="A82" s="76" t="s">
        <v>414</v>
      </c>
      <c r="B82" s="74" t="s">
        <v>746</v>
      </c>
      <c r="C82" s="75" t="s">
        <v>747</v>
      </c>
      <c r="D82" s="76" t="s">
        <v>98</v>
      </c>
      <c r="E82" s="77">
        <f>E83</f>
        <v>338.98800000000006</v>
      </c>
      <c r="F82" s="68">
        <f t="shared" ref="F82:F87" si="5">ROUND(E82,2)</f>
        <v>338.99</v>
      </c>
      <c r="G82" s="67" t="s">
        <v>513</v>
      </c>
    </row>
    <row r="83" spans="1:8" x14ac:dyDescent="0.2">
      <c r="A83" s="76" t="s">
        <v>416</v>
      </c>
      <c r="B83" s="74" t="s">
        <v>659</v>
      </c>
      <c r="C83" s="75" t="s">
        <v>747</v>
      </c>
      <c r="D83" s="76" t="s">
        <v>98</v>
      </c>
      <c r="E83" s="77">
        <f>E62-E64</f>
        <v>338.98800000000006</v>
      </c>
      <c r="F83" s="68">
        <f t="shared" si="5"/>
        <v>338.99</v>
      </c>
      <c r="G83" s="67" t="s">
        <v>513</v>
      </c>
    </row>
    <row r="84" spans="1:8" x14ac:dyDescent="0.2">
      <c r="A84" s="76" t="s">
        <v>418</v>
      </c>
      <c r="B84" s="70" t="s">
        <v>748</v>
      </c>
      <c r="C84" s="71" t="s">
        <v>662</v>
      </c>
      <c r="D84" s="72" t="s">
        <v>98</v>
      </c>
      <c r="E84" s="73">
        <f>(E83/3)*1.1</f>
        <v>124.29560000000004</v>
      </c>
      <c r="F84" s="68">
        <f t="shared" si="5"/>
        <v>124.3</v>
      </c>
      <c r="G84" s="67" t="s">
        <v>513</v>
      </c>
      <c r="H84" s="83"/>
    </row>
    <row r="85" spans="1:8" x14ac:dyDescent="0.2">
      <c r="A85" s="76" t="s">
        <v>420</v>
      </c>
      <c r="B85" s="307" t="s">
        <v>749</v>
      </c>
      <c r="C85" s="308"/>
      <c r="D85" s="315" t="s">
        <v>110</v>
      </c>
      <c r="E85" s="309">
        <v>0</v>
      </c>
      <c r="F85" s="68">
        <f t="shared" si="5"/>
        <v>0</v>
      </c>
      <c r="G85" s="67" t="s">
        <v>513</v>
      </c>
      <c r="H85" s="83"/>
    </row>
    <row r="86" spans="1:8" x14ac:dyDescent="0.2">
      <c r="A86" s="76" t="s">
        <v>422</v>
      </c>
      <c r="B86" s="307" t="s">
        <v>750</v>
      </c>
      <c r="C86" s="308" t="s">
        <v>751</v>
      </c>
      <c r="D86" s="306" t="s">
        <v>98</v>
      </c>
      <c r="E86" s="309">
        <v>0</v>
      </c>
      <c r="F86" s="68">
        <f t="shared" si="5"/>
        <v>0</v>
      </c>
      <c r="G86" s="67" t="s">
        <v>513</v>
      </c>
      <c r="H86" s="83"/>
    </row>
    <row r="87" spans="1:8" ht="25.5" x14ac:dyDescent="0.2">
      <c r="A87" s="76" t="s">
        <v>425</v>
      </c>
      <c r="B87" s="74" t="s">
        <v>663</v>
      </c>
      <c r="C87" s="75" t="s">
        <v>752</v>
      </c>
      <c r="D87" s="76" t="s">
        <v>644</v>
      </c>
      <c r="E87" s="77">
        <f>(E50+E51+E52+E53+E54*1.5*1.2)*3+(E56*2*1+E57*1*0.6+E58*0.6*0.4+E59*0.6*0.6)*3</f>
        <v>49.740000000000009</v>
      </c>
      <c r="F87" s="68">
        <f t="shared" si="5"/>
        <v>49.74</v>
      </c>
      <c r="G87" s="67" t="s">
        <v>513</v>
      </c>
    </row>
    <row r="88" spans="1:8" x14ac:dyDescent="0.2">
      <c r="A88" s="687" t="s">
        <v>413</v>
      </c>
      <c r="B88" s="687"/>
      <c r="C88" s="687"/>
      <c r="D88" s="687"/>
      <c r="E88" s="687"/>
      <c r="F88" s="68"/>
    </row>
    <row r="89" spans="1:8" x14ac:dyDescent="0.2">
      <c r="A89" s="69" t="s">
        <v>80</v>
      </c>
      <c r="B89" s="69" t="s">
        <v>506</v>
      </c>
      <c r="C89" s="393" t="s">
        <v>507</v>
      </c>
      <c r="D89" s="69" t="s">
        <v>508</v>
      </c>
      <c r="E89" s="69" t="s">
        <v>509</v>
      </c>
      <c r="F89" s="68"/>
    </row>
    <row r="90" spans="1:8" x14ac:dyDescent="0.2">
      <c r="A90" s="72" t="s">
        <v>432</v>
      </c>
      <c r="B90" s="70" t="s">
        <v>753</v>
      </c>
      <c r="C90" s="71" t="s">
        <v>754</v>
      </c>
      <c r="D90" s="80" t="s">
        <v>110</v>
      </c>
      <c r="E90" s="73">
        <v>2</v>
      </c>
      <c r="F90" s="68">
        <f t="shared" ref="F90:F136" si="6">ROUND(E90,2)</f>
        <v>2</v>
      </c>
      <c r="G90" s="67" t="s">
        <v>513</v>
      </c>
    </row>
    <row r="91" spans="1:8" x14ac:dyDescent="0.2">
      <c r="A91" s="306" t="s">
        <v>436</v>
      </c>
      <c r="B91" s="307" t="s">
        <v>670</v>
      </c>
      <c r="C91" s="308"/>
      <c r="D91" s="315" t="s">
        <v>110</v>
      </c>
      <c r="E91" s="309">
        <v>0</v>
      </c>
      <c r="F91" s="68">
        <f t="shared" si="6"/>
        <v>0</v>
      </c>
      <c r="G91" s="67" t="s">
        <v>513</v>
      </c>
    </row>
    <row r="92" spans="1:8" x14ac:dyDescent="0.2">
      <c r="A92" s="306" t="s">
        <v>440</v>
      </c>
      <c r="B92" s="307" t="s">
        <v>671</v>
      </c>
      <c r="C92" s="308"/>
      <c r="D92" s="315" t="s">
        <v>110</v>
      </c>
      <c r="E92" s="310">
        <v>0</v>
      </c>
      <c r="F92" s="68">
        <f t="shared" si="6"/>
        <v>0</v>
      </c>
      <c r="G92" s="67" t="s">
        <v>513</v>
      </c>
    </row>
    <row r="93" spans="1:8" x14ac:dyDescent="0.2">
      <c r="A93" s="306" t="s">
        <v>444</v>
      </c>
      <c r="B93" s="307" t="s">
        <v>672</v>
      </c>
      <c r="C93" s="308"/>
      <c r="D93" s="315" t="s">
        <v>110</v>
      </c>
      <c r="E93" s="310">
        <v>0</v>
      </c>
      <c r="F93" s="68">
        <f t="shared" si="6"/>
        <v>0</v>
      </c>
      <c r="G93" s="67" t="s">
        <v>513</v>
      </c>
    </row>
    <row r="94" spans="1:8" x14ac:dyDescent="0.2">
      <c r="A94" s="306" t="s">
        <v>448</v>
      </c>
      <c r="B94" s="307" t="s">
        <v>755</v>
      </c>
      <c r="C94" s="308"/>
      <c r="D94" s="316" t="s">
        <v>275</v>
      </c>
      <c r="E94" s="310">
        <v>0</v>
      </c>
      <c r="F94" s="68">
        <f t="shared" si="6"/>
        <v>0</v>
      </c>
      <c r="G94" s="67" t="s">
        <v>513</v>
      </c>
    </row>
    <row r="95" spans="1:8" x14ac:dyDescent="0.2">
      <c r="A95" s="306" t="s">
        <v>449</v>
      </c>
      <c r="B95" s="307" t="s">
        <v>673</v>
      </c>
      <c r="C95" s="308" t="s">
        <v>674</v>
      </c>
      <c r="D95" s="316" t="s">
        <v>98</v>
      </c>
      <c r="E95" s="310">
        <v>0</v>
      </c>
      <c r="F95" s="68">
        <f t="shared" si="6"/>
        <v>0</v>
      </c>
      <c r="G95" s="67" t="s">
        <v>513</v>
      </c>
    </row>
    <row r="96" spans="1:8" x14ac:dyDescent="0.2">
      <c r="A96" s="306" t="s">
        <v>453</v>
      </c>
      <c r="B96" s="307" t="s">
        <v>756</v>
      </c>
      <c r="C96" s="308" t="s">
        <v>676</v>
      </c>
      <c r="D96" s="315" t="s">
        <v>110</v>
      </c>
      <c r="E96" s="310">
        <v>0</v>
      </c>
      <c r="F96" s="68">
        <f t="shared" si="6"/>
        <v>0</v>
      </c>
      <c r="G96" s="67" t="s">
        <v>513</v>
      </c>
    </row>
    <row r="97" spans="1:7" x14ac:dyDescent="0.2">
      <c r="A97" s="306" t="s">
        <v>457</v>
      </c>
      <c r="B97" s="307" t="s">
        <v>757</v>
      </c>
      <c r="C97" s="308"/>
      <c r="D97" s="315" t="s">
        <v>110</v>
      </c>
      <c r="E97" s="310">
        <v>0</v>
      </c>
      <c r="F97" s="68">
        <f t="shared" si="6"/>
        <v>0</v>
      </c>
      <c r="G97" s="67" t="s">
        <v>513</v>
      </c>
    </row>
    <row r="98" spans="1:7" x14ac:dyDescent="0.2">
      <c r="A98" s="306" t="s">
        <v>459</v>
      </c>
      <c r="B98" s="310" t="s">
        <v>677</v>
      </c>
      <c r="C98" s="308" t="s">
        <v>678</v>
      </c>
      <c r="D98" s="315" t="s">
        <v>110</v>
      </c>
      <c r="E98" s="310">
        <v>0</v>
      </c>
      <c r="F98" s="68">
        <f t="shared" si="6"/>
        <v>0</v>
      </c>
      <c r="G98" s="67" t="s">
        <v>513</v>
      </c>
    </row>
    <row r="99" spans="1:7" x14ac:dyDescent="0.2">
      <c r="A99" s="72"/>
      <c r="B99" s="79"/>
      <c r="C99" s="71"/>
      <c r="D99" s="79"/>
      <c r="E99" s="79"/>
      <c r="F99" s="68">
        <f t="shared" si="6"/>
        <v>0</v>
      </c>
    </row>
    <row r="100" spans="1:7" x14ac:dyDescent="0.2">
      <c r="A100" s="685" t="s">
        <v>679</v>
      </c>
      <c r="B100" s="685"/>
      <c r="C100" s="686"/>
      <c r="D100" s="686"/>
      <c r="E100" s="686"/>
      <c r="F100" s="68"/>
    </row>
    <row r="101" spans="1:7" x14ac:dyDescent="0.2">
      <c r="A101" s="69" t="s">
        <v>80</v>
      </c>
      <c r="B101" s="69" t="s">
        <v>506</v>
      </c>
      <c r="C101" s="393" t="s">
        <v>507</v>
      </c>
      <c r="D101" s="69" t="s">
        <v>508</v>
      </c>
      <c r="E101" s="69" t="s">
        <v>509</v>
      </c>
      <c r="F101" s="68"/>
    </row>
    <row r="102" spans="1:7" x14ac:dyDescent="0.2">
      <c r="A102" s="72" t="s">
        <v>465</v>
      </c>
      <c r="B102" s="70" t="s">
        <v>680</v>
      </c>
      <c r="C102" s="71" t="s">
        <v>758</v>
      </c>
      <c r="D102" s="72" t="s">
        <v>644</v>
      </c>
      <c r="E102" s="73">
        <f>E44-E4</f>
        <v>26.689999999999998</v>
      </c>
      <c r="F102" s="68">
        <f>ROUND(E102,2)</f>
        <v>26.69</v>
      </c>
      <c r="G102" s="67" t="s">
        <v>513</v>
      </c>
    </row>
    <row r="103" spans="1:7" x14ac:dyDescent="0.2">
      <c r="A103" s="306" t="s">
        <v>469</v>
      </c>
      <c r="B103" s="307" t="s">
        <v>759</v>
      </c>
      <c r="C103" s="308" t="s">
        <v>760</v>
      </c>
      <c r="D103" s="316" t="s">
        <v>644</v>
      </c>
      <c r="E103" s="309">
        <v>0</v>
      </c>
      <c r="F103" s="68">
        <f>ROUND(E103,2)</f>
        <v>0</v>
      </c>
      <c r="G103" s="67" t="s">
        <v>513</v>
      </c>
    </row>
    <row r="104" spans="1:7" x14ac:dyDescent="0.2">
      <c r="A104" s="306" t="s">
        <v>761</v>
      </c>
      <c r="B104" s="307" t="s">
        <v>684</v>
      </c>
      <c r="C104" s="308" t="s">
        <v>685</v>
      </c>
      <c r="D104" s="316" t="s">
        <v>119</v>
      </c>
      <c r="E104" s="309">
        <v>0</v>
      </c>
      <c r="F104" s="68">
        <f>ROUND(E104,2)</f>
        <v>0</v>
      </c>
      <c r="G104" s="67" t="s">
        <v>513</v>
      </c>
    </row>
    <row r="105" spans="1:7" x14ac:dyDescent="0.2">
      <c r="A105" s="306" t="s">
        <v>762</v>
      </c>
      <c r="B105" s="307" t="s">
        <v>763</v>
      </c>
      <c r="C105" s="308" t="s">
        <v>764</v>
      </c>
      <c r="D105" s="315" t="s">
        <v>110</v>
      </c>
      <c r="E105" s="309">
        <v>0</v>
      </c>
      <c r="F105" s="68">
        <f>ROUND(E105,2)</f>
        <v>0</v>
      </c>
      <c r="G105" s="67" t="s">
        <v>513</v>
      </c>
    </row>
    <row r="106" spans="1:7" x14ac:dyDescent="0.2">
      <c r="A106" s="306" t="s">
        <v>765</v>
      </c>
      <c r="B106" s="310" t="s">
        <v>686</v>
      </c>
      <c r="C106" s="308" t="s">
        <v>766</v>
      </c>
      <c r="D106" s="310" t="s">
        <v>98</v>
      </c>
      <c r="E106" s="310">
        <v>0</v>
      </c>
      <c r="F106" s="68">
        <f>ROUND(E106,2)</f>
        <v>0</v>
      </c>
      <c r="G106" s="89" t="s">
        <v>513</v>
      </c>
    </row>
    <row r="107" spans="1:7" x14ac:dyDescent="0.2">
      <c r="A107" s="685" t="s">
        <v>688</v>
      </c>
      <c r="B107" s="685"/>
      <c r="C107" s="686"/>
      <c r="D107" s="686"/>
      <c r="E107" s="686"/>
      <c r="F107" s="68"/>
    </row>
    <row r="108" spans="1:7" x14ac:dyDescent="0.2">
      <c r="A108" s="69" t="s">
        <v>80</v>
      </c>
      <c r="B108" s="69" t="s">
        <v>506</v>
      </c>
      <c r="C108" s="393" t="s">
        <v>507</v>
      </c>
      <c r="D108" s="69" t="s">
        <v>508</v>
      </c>
      <c r="E108" s="69" t="s">
        <v>509</v>
      </c>
      <c r="F108" s="68"/>
    </row>
    <row r="109" spans="1:7" x14ac:dyDescent="0.2">
      <c r="A109" s="306" t="s">
        <v>475</v>
      </c>
      <c r="B109" s="307" t="s">
        <v>689</v>
      </c>
      <c r="C109" s="308"/>
      <c r="D109" s="315" t="s">
        <v>110</v>
      </c>
      <c r="E109" s="309">
        <v>0</v>
      </c>
      <c r="F109" s="68">
        <f>ROUND(E109,2)</f>
        <v>0</v>
      </c>
      <c r="G109" s="67" t="s">
        <v>513</v>
      </c>
    </row>
    <row r="110" spans="1:7" x14ac:dyDescent="0.2">
      <c r="A110" s="306" t="s">
        <v>767</v>
      </c>
      <c r="B110" s="307" t="s">
        <v>690</v>
      </c>
      <c r="C110" s="308"/>
      <c r="D110" s="315" t="s">
        <v>110</v>
      </c>
      <c r="E110" s="309">
        <v>0</v>
      </c>
      <c r="F110" s="68">
        <f>ROUND(E110,2)</f>
        <v>0</v>
      </c>
      <c r="G110" s="67" t="s">
        <v>513</v>
      </c>
    </row>
    <row r="111" spans="1:7" x14ac:dyDescent="0.2">
      <c r="A111" s="72"/>
      <c r="B111" s="79"/>
      <c r="C111" s="71"/>
      <c r="D111" s="79"/>
      <c r="E111" s="79"/>
      <c r="F111" s="68"/>
    </row>
    <row r="112" spans="1:7" x14ac:dyDescent="0.2">
      <c r="A112" s="685" t="s">
        <v>691</v>
      </c>
      <c r="B112" s="685"/>
      <c r="C112" s="686"/>
      <c r="D112" s="686"/>
      <c r="E112" s="686"/>
      <c r="F112" s="68">
        <f t="shared" si="6"/>
        <v>0</v>
      </c>
    </row>
    <row r="113" spans="1:7" x14ac:dyDescent="0.2">
      <c r="A113" s="69" t="s">
        <v>80</v>
      </c>
      <c r="B113" s="69" t="s">
        <v>506</v>
      </c>
      <c r="C113" s="393" t="s">
        <v>507</v>
      </c>
      <c r="D113" s="69" t="s">
        <v>508</v>
      </c>
      <c r="E113" s="69" t="s">
        <v>509</v>
      </c>
      <c r="F113" s="68" t="e">
        <f t="shared" si="6"/>
        <v>#VALUE!</v>
      </c>
    </row>
    <row r="114" spans="1:7" x14ac:dyDescent="0.2">
      <c r="A114" s="76" t="s">
        <v>768</v>
      </c>
      <c r="B114" s="74" t="s">
        <v>692</v>
      </c>
      <c r="C114" s="75" t="s">
        <v>693</v>
      </c>
      <c r="D114" s="76" t="s">
        <v>98</v>
      </c>
      <c r="E114" s="77">
        <f>E4</f>
        <v>135.29</v>
      </c>
      <c r="F114" s="68">
        <f t="shared" si="6"/>
        <v>135.29</v>
      </c>
      <c r="G114" s="67" t="s">
        <v>513</v>
      </c>
    </row>
    <row r="115" spans="1:7" x14ac:dyDescent="0.2">
      <c r="F115" s="68">
        <f t="shared" si="6"/>
        <v>0</v>
      </c>
    </row>
    <row r="116" spans="1:7" x14ac:dyDescent="0.2">
      <c r="F116" s="68">
        <f t="shared" si="6"/>
        <v>0</v>
      </c>
    </row>
    <row r="117" spans="1:7" x14ac:dyDescent="0.2">
      <c r="F117" s="68">
        <f t="shared" si="6"/>
        <v>0</v>
      </c>
    </row>
    <row r="118" spans="1:7" x14ac:dyDescent="0.2">
      <c r="F118" s="68">
        <f t="shared" si="6"/>
        <v>0</v>
      </c>
    </row>
    <row r="119" spans="1:7" x14ac:dyDescent="0.2">
      <c r="F119" s="68">
        <f t="shared" si="6"/>
        <v>0</v>
      </c>
    </row>
    <row r="120" spans="1:7" x14ac:dyDescent="0.2">
      <c r="F120" s="68">
        <f t="shared" si="6"/>
        <v>0</v>
      </c>
    </row>
    <row r="121" spans="1:7" x14ac:dyDescent="0.2">
      <c r="F121" s="68">
        <f t="shared" si="6"/>
        <v>0</v>
      </c>
    </row>
    <row r="122" spans="1:7" x14ac:dyDescent="0.2">
      <c r="F122" s="68">
        <f t="shared" si="6"/>
        <v>0</v>
      </c>
    </row>
    <row r="123" spans="1:7" x14ac:dyDescent="0.2">
      <c r="F123" s="68">
        <f t="shared" si="6"/>
        <v>0</v>
      </c>
    </row>
    <row r="124" spans="1:7" x14ac:dyDescent="0.2">
      <c r="F124" s="68">
        <f t="shared" si="6"/>
        <v>0</v>
      </c>
    </row>
    <row r="125" spans="1:7" x14ac:dyDescent="0.2">
      <c r="F125" s="68">
        <f t="shared" si="6"/>
        <v>0</v>
      </c>
    </row>
    <row r="126" spans="1:7" x14ac:dyDescent="0.2">
      <c r="F126" s="68">
        <f t="shared" si="6"/>
        <v>0</v>
      </c>
    </row>
    <row r="127" spans="1:7" x14ac:dyDescent="0.2">
      <c r="F127" s="68">
        <f t="shared" si="6"/>
        <v>0</v>
      </c>
    </row>
    <row r="128" spans="1:7" x14ac:dyDescent="0.2">
      <c r="F128" s="68">
        <f t="shared" si="6"/>
        <v>0</v>
      </c>
    </row>
    <row r="129" spans="6:6" x14ac:dyDescent="0.2">
      <c r="F129" s="68">
        <f t="shared" si="6"/>
        <v>0</v>
      </c>
    </row>
    <row r="130" spans="6:6" x14ac:dyDescent="0.2">
      <c r="F130" s="68">
        <f t="shared" si="6"/>
        <v>0</v>
      </c>
    </row>
    <row r="131" spans="6:6" x14ac:dyDescent="0.2">
      <c r="F131" s="68">
        <f t="shared" si="6"/>
        <v>0</v>
      </c>
    </row>
    <row r="132" spans="6:6" x14ac:dyDescent="0.2">
      <c r="F132" s="68">
        <f t="shared" si="6"/>
        <v>0</v>
      </c>
    </row>
    <row r="133" spans="6:6" x14ac:dyDescent="0.2">
      <c r="F133" s="68">
        <f t="shared" si="6"/>
        <v>0</v>
      </c>
    </row>
    <row r="134" spans="6:6" x14ac:dyDescent="0.2">
      <c r="F134" s="68">
        <f t="shared" si="6"/>
        <v>0</v>
      </c>
    </row>
    <row r="135" spans="6:6" x14ac:dyDescent="0.2">
      <c r="F135" s="68">
        <f t="shared" si="6"/>
        <v>0</v>
      </c>
    </row>
    <row r="136" spans="6:6" x14ac:dyDescent="0.2">
      <c r="F136" s="68">
        <f t="shared" si="6"/>
        <v>0</v>
      </c>
    </row>
  </sheetData>
  <mergeCells count="18">
    <mergeCell ref="A65:E65"/>
    <mergeCell ref="A100:E100"/>
    <mergeCell ref="A107:E107"/>
    <mergeCell ref="A112:E112"/>
    <mergeCell ref="A73:E73"/>
    <mergeCell ref="A77:E77"/>
    <mergeCell ref="A80:E80"/>
    <mergeCell ref="A88:E88"/>
    <mergeCell ref="A48:E48"/>
    <mergeCell ref="A60:E60"/>
    <mergeCell ref="A1:E1"/>
    <mergeCell ref="A2:E2"/>
    <mergeCell ref="A5:E5"/>
    <mergeCell ref="A14:E14"/>
    <mergeCell ref="A37:E37"/>
    <mergeCell ref="A42:E42"/>
    <mergeCell ref="A24:E24"/>
    <mergeCell ref="A31:E31"/>
  </mergeCells>
  <phoneticPr fontId="14" type="noConversion"/>
  <pageMargins left="0.78740157499999996" right="0.78740157499999996" top="0.984251969" bottom="0.984251969" header="0.49212598499999999" footer="0.49212598499999999"/>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2:AC34"/>
  <sheetViews>
    <sheetView view="pageBreakPreview" zoomScale="75" zoomScaleNormal="100" workbookViewId="0">
      <selection activeCell="B6" sqref="B6"/>
    </sheetView>
  </sheetViews>
  <sheetFormatPr defaultRowHeight="12.75" x14ac:dyDescent="0.2"/>
  <cols>
    <col min="1" max="1" width="6.7109375" customWidth="1"/>
    <col min="2" max="2" width="33.7109375" customWidth="1"/>
    <col min="3" max="3" width="13" customWidth="1"/>
    <col min="4" max="4" width="8.85546875" customWidth="1"/>
    <col min="5" max="5" width="10.85546875" customWidth="1"/>
    <col min="6" max="6" width="6.85546875" customWidth="1"/>
    <col min="7" max="7" width="10.85546875" customWidth="1"/>
    <col min="8" max="8" width="6.85546875" customWidth="1"/>
    <col min="9" max="9" width="11.7109375" bestFit="1" customWidth="1"/>
    <col min="10" max="10" width="6.85546875" customWidth="1"/>
    <col min="11" max="11" width="11.7109375" customWidth="1"/>
    <col min="12" max="12" width="6.85546875" customWidth="1"/>
    <col min="13" max="13" width="11.7109375" bestFit="1" customWidth="1"/>
    <col min="14" max="14" width="6.85546875" customWidth="1"/>
    <col min="15" max="15" width="11.7109375" customWidth="1"/>
    <col min="16" max="16" width="6.85546875" customWidth="1"/>
    <col min="17" max="17" width="11.7109375" bestFit="1" customWidth="1"/>
    <col min="18" max="18" width="6.85546875" customWidth="1"/>
    <col min="19" max="19" width="11.7109375" bestFit="1" customWidth="1"/>
    <col min="20" max="20" width="6.85546875" customWidth="1"/>
    <col min="21" max="21" width="11.7109375" bestFit="1" customWidth="1"/>
    <col min="22" max="22" width="6.85546875" customWidth="1"/>
    <col min="23" max="23" width="11.7109375" bestFit="1" customWidth="1"/>
    <col min="24" max="24" width="6.85546875" customWidth="1"/>
    <col min="25" max="25" width="12.42578125" customWidth="1"/>
    <col min="26" max="26" width="6.85546875" customWidth="1"/>
    <col min="27" max="27" width="12.28515625" customWidth="1"/>
    <col min="28" max="28" width="7.85546875" customWidth="1"/>
  </cols>
  <sheetData>
    <row r="2" spans="1:29" ht="23.25" x14ac:dyDescent="0.2">
      <c r="A2" s="136"/>
      <c r="C2" s="137" t="s">
        <v>56</v>
      </c>
    </row>
    <row r="3" spans="1:29" ht="23.25" x14ac:dyDescent="0.2">
      <c r="A3" s="136"/>
      <c r="C3" s="137" t="s">
        <v>481</v>
      </c>
    </row>
    <row r="4" spans="1:29" ht="23.25" x14ac:dyDescent="0.25">
      <c r="A4" s="136"/>
      <c r="C4" s="4" t="s">
        <v>2</v>
      </c>
    </row>
    <row r="5" spans="1:29" ht="23.25" x14ac:dyDescent="0.25">
      <c r="A5" s="136" t="s">
        <v>482</v>
      </c>
      <c r="B5" s="136"/>
      <c r="C5" s="136"/>
      <c r="D5" s="136"/>
      <c r="E5" s="136"/>
      <c r="F5" s="136"/>
      <c r="G5" s="136"/>
      <c r="I5" s="139"/>
    </row>
    <row r="6" spans="1:29" ht="18" x14ac:dyDescent="0.25">
      <c r="A6" s="1" t="e">
        <f>'Ampliação 02 Salas Aula'!A6</f>
        <v>#REF!</v>
      </c>
      <c r="B6" s="138"/>
      <c r="C6" s="138"/>
      <c r="D6" s="138"/>
    </row>
    <row r="7" spans="1:29" ht="18" x14ac:dyDescent="0.25">
      <c r="A7" s="1" t="e">
        <f>'Ampliação 02 Salas Aula'!A7</f>
        <v>#REF!</v>
      </c>
      <c r="B7" s="138"/>
      <c r="C7" s="138"/>
      <c r="D7" s="138"/>
      <c r="G7" s="139" t="s">
        <v>483</v>
      </c>
      <c r="H7" s="139">
        <f>'Cron Reforma'!H7</f>
        <v>365</v>
      </c>
      <c r="I7" s="139" t="s">
        <v>484</v>
      </c>
    </row>
    <row r="8" spans="1:29" ht="18" x14ac:dyDescent="0.25">
      <c r="A8" s="1" t="str">
        <f>'Ampliação 02 Salas Aula'!A8</f>
        <v xml:space="preserve">RESUMO DA PLANILHA ORÇAMENTARIA </v>
      </c>
      <c r="B8" s="139"/>
      <c r="C8" s="139"/>
      <c r="D8" s="140"/>
    </row>
    <row r="9" spans="1:29" ht="18" x14ac:dyDescent="0.25">
      <c r="A9" s="1" t="s">
        <v>43</v>
      </c>
      <c r="B9" s="139"/>
      <c r="C9" s="139"/>
      <c r="D9" s="140"/>
    </row>
    <row r="10" spans="1:29" ht="18" x14ac:dyDescent="0.25">
      <c r="A10" s="1" t="e">
        <f>'Ampliação 02 Salas Aula'!E5</f>
        <v>#REF!</v>
      </c>
      <c r="B10" s="139"/>
      <c r="C10" s="139"/>
      <c r="D10" s="140"/>
    </row>
    <row r="11" spans="1:29" ht="15.75" x14ac:dyDescent="0.25">
      <c r="A11" s="5"/>
      <c r="B11" s="139"/>
      <c r="C11" s="139"/>
      <c r="D11" s="140"/>
    </row>
    <row r="12" spans="1:29" ht="13.5" thickBot="1" x14ac:dyDescent="0.25">
      <c r="A12" s="665" t="s">
        <v>482</v>
      </c>
      <c r="B12" s="669"/>
      <c r="C12" s="669"/>
      <c r="D12" s="669"/>
      <c r="E12" s="670"/>
      <c r="F12" s="670"/>
      <c r="G12" s="670"/>
      <c r="H12" s="670"/>
      <c r="I12" s="670"/>
      <c r="J12" s="670"/>
      <c r="K12" s="670"/>
      <c r="L12" s="670"/>
      <c r="M12" s="670"/>
      <c r="N12" s="670"/>
      <c r="O12" s="670"/>
      <c r="P12" s="670"/>
      <c r="Q12" s="670"/>
      <c r="R12" s="670"/>
      <c r="S12" s="670"/>
      <c r="T12" s="670"/>
      <c r="U12" s="670"/>
      <c r="V12" s="670"/>
    </row>
    <row r="13" spans="1:29" s="141" customFormat="1" ht="16.5" thickBot="1" x14ac:dyDescent="0.25">
      <c r="A13" s="680" t="s">
        <v>13</v>
      </c>
      <c r="B13" s="645" t="s">
        <v>485</v>
      </c>
      <c r="C13" s="649" t="s">
        <v>486</v>
      </c>
      <c r="D13" s="649"/>
      <c r="E13" s="671" t="s">
        <v>487</v>
      </c>
      <c r="F13" s="672"/>
      <c r="G13" s="672"/>
      <c r="H13" s="672"/>
      <c r="I13" s="672"/>
      <c r="J13" s="672"/>
      <c r="K13" s="672"/>
      <c r="L13" s="672"/>
      <c r="M13" s="672"/>
      <c r="N13" s="672"/>
      <c r="O13" s="672"/>
      <c r="P13" s="672"/>
      <c r="Q13" s="672"/>
      <c r="R13" s="672"/>
      <c r="S13" s="672"/>
      <c r="T13" s="672"/>
      <c r="U13" s="672"/>
      <c r="V13" s="672"/>
      <c r="W13" s="672"/>
      <c r="X13" s="672"/>
      <c r="Y13" s="672"/>
      <c r="Z13" s="672"/>
      <c r="AA13" s="672"/>
      <c r="AB13" s="673"/>
    </row>
    <row r="14" spans="1:29" s="141" customFormat="1" ht="16.5" thickBot="1" x14ac:dyDescent="0.25">
      <c r="A14" s="681"/>
      <c r="B14" s="646"/>
      <c r="C14" s="649"/>
      <c r="D14" s="649"/>
      <c r="E14" s="674" t="s">
        <v>488</v>
      </c>
      <c r="F14" s="674"/>
      <c r="G14" s="674" t="s">
        <v>489</v>
      </c>
      <c r="H14" s="674"/>
      <c r="I14" s="674" t="s">
        <v>490</v>
      </c>
      <c r="J14" s="674"/>
      <c r="K14" s="674" t="s">
        <v>491</v>
      </c>
      <c r="L14" s="674"/>
      <c r="M14" s="674" t="s">
        <v>492</v>
      </c>
      <c r="N14" s="674"/>
      <c r="O14" s="674" t="s">
        <v>493</v>
      </c>
      <c r="P14" s="674"/>
      <c r="Q14" s="674" t="s">
        <v>494</v>
      </c>
      <c r="R14" s="674"/>
      <c r="S14" s="674" t="s">
        <v>495</v>
      </c>
      <c r="T14" s="674"/>
      <c r="U14" s="674" t="s">
        <v>496</v>
      </c>
      <c r="V14" s="674"/>
      <c r="W14" s="674" t="s">
        <v>497</v>
      </c>
      <c r="X14" s="674"/>
      <c r="Y14" s="674" t="s">
        <v>498</v>
      </c>
      <c r="Z14" s="674"/>
      <c r="AA14" s="674" t="s">
        <v>499</v>
      </c>
      <c r="AB14" s="674"/>
    </row>
    <row r="15" spans="1:29" s="141" customFormat="1" ht="15.75" thickBot="1" x14ac:dyDescent="0.25">
      <c r="A15" s="682"/>
      <c r="B15" s="683"/>
      <c r="C15" s="142" t="s">
        <v>500</v>
      </c>
      <c r="D15" s="143" t="s">
        <v>16</v>
      </c>
      <c r="E15" s="142" t="s">
        <v>500</v>
      </c>
      <c r="F15" s="143" t="s">
        <v>16</v>
      </c>
      <c r="G15" s="144" t="s">
        <v>501</v>
      </c>
      <c r="H15" s="145" t="s">
        <v>16</v>
      </c>
      <c r="I15" s="144" t="s">
        <v>501</v>
      </c>
      <c r="J15" s="145" t="s">
        <v>16</v>
      </c>
      <c r="K15" s="144" t="s">
        <v>501</v>
      </c>
      <c r="L15" s="145" t="s">
        <v>16</v>
      </c>
      <c r="M15" s="144" t="s">
        <v>501</v>
      </c>
      <c r="N15" s="145" t="s">
        <v>16</v>
      </c>
      <c r="O15" s="144" t="s">
        <v>501</v>
      </c>
      <c r="P15" s="145" t="s">
        <v>16</v>
      </c>
      <c r="Q15" s="144" t="s">
        <v>501</v>
      </c>
      <c r="R15" s="145" t="s">
        <v>16</v>
      </c>
      <c r="S15" s="144" t="s">
        <v>501</v>
      </c>
      <c r="T15" s="145" t="s">
        <v>16</v>
      </c>
      <c r="U15" s="144" t="s">
        <v>501</v>
      </c>
      <c r="V15" s="145" t="s">
        <v>16</v>
      </c>
      <c r="W15" s="144" t="s">
        <v>501</v>
      </c>
      <c r="X15" s="145" t="s">
        <v>16</v>
      </c>
      <c r="Y15" s="144" t="s">
        <v>501</v>
      </c>
      <c r="Z15" s="145" t="s">
        <v>16</v>
      </c>
      <c r="AA15" s="144" t="s">
        <v>501</v>
      </c>
      <c r="AB15" s="145" t="s">
        <v>16</v>
      </c>
    </row>
    <row r="16" spans="1:29" s="141" customFormat="1" ht="15" x14ac:dyDescent="0.2">
      <c r="A16" s="34" t="s">
        <v>53</v>
      </c>
      <c r="B16" s="35" t="str">
        <f>'[4]Ampl 02 Salas Aula'!C12</f>
        <v>SERVIÇOS  PRELIMINARES</v>
      </c>
      <c r="C16" s="16">
        <f>'Ampliação 02 Salas Aula'!K14</f>
        <v>565.51</v>
      </c>
      <c r="D16" s="106">
        <f t="shared" ref="D16:D31" si="0">(C16/$C$32)</f>
        <v>6.2345111518604156E-3</v>
      </c>
      <c r="E16" s="146">
        <f t="shared" ref="E16:E31" si="1">C16*F16/100</f>
        <v>565.51</v>
      </c>
      <c r="F16" s="147">
        <v>100</v>
      </c>
      <c r="G16" s="146">
        <f>C16*H16/100</f>
        <v>0</v>
      </c>
      <c r="H16" s="125">
        <v>0</v>
      </c>
      <c r="I16" s="146">
        <f>C16*J16/100</f>
        <v>0</v>
      </c>
      <c r="J16" s="148">
        <v>0</v>
      </c>
      <c r="K16" s="127">
        <f>C16*L16/100</f>
        <v>0</v>
      </c>
      <c r="L16" s="125">
        <v>0</v>
      </c>
      <c r="M16" s="146">
        <f>C16*N16/100</f>
        <v>0</v>
      </c>
      <c r="N16" s="148">
        <v>0</v>
      </c>
      <c r="O16" s="127">
        <f>C16*P16/100</f>
        <v>0</v>
      </c>
      <c r="P16" s="125">
        <v>0</v>
      </c>
      <c r="Q16" s="146">
        <f>C16*R16/100</f>
        <v>0</v>
      </c>
      <c r="R16" s="148">
        <v>0</v>
      </c>
      <c r="S16" s="127">
        <f>C16*T16/100</f>
        <v>0</v>
      </c>
      <c r="T16" s="125">
        <v>0</v>
      </c>
      <c r="U16" s="146">
        <f>(C16*V16)/100</f>
        <v>0</v>
      </c>
      <c r="V16" s="148">
        <v>0</v>
      </c>
      <c r="W16" s="127">
        <f>(X16*C16)/100</f>
        <v>0</v>
      </c>
      <c r="X16" s="125">
        <v>0</v>
      </c>
      <c r="Y16" s="146">
        <f>(Z16*C16)/100</f>
        <v>0</v>
      </c>
      <c r="Z16" s="148">
        <v>0</v>
      </c>
      <c r="AA16" s="146">
        <f>(AB16*C16)/100</f>
        <v>0</v>
      </c>
      <c r="AB16" s="126">
        <v>0</v>
      </c>
      <c r="AC16" s="408">
        <f>F16+H16+J16+L16+N16+P16+R16+T16+V16+X16+Z16+AB16</f>
        <v>100</v>
      </c>
    </row>
    <row r="17" spans="1:29" s="141" customFormat="1" ht="15" x14ac:dyDescent="0.2">
      <c r="A17" s="103" t="s">
        <v>41</v>
      </c>
      <c r="B17" s="27" t="str">
        <f>'[4]Ampl 02 Salas Aula'!C15</f>
        <v>MOVIMENTO DE SOLOS</v>
      </c>
      <c r="C17" s="122">
        <f>'Ampliação 02 Salas Aula'!K23</f>
        <v>1035.99</v>
      </c>
      <c r="D17" s="106">
        <f t="shared" si="0"/>
        <v>1.1421356312383286E-2</v>
      </c>
      <c r="E17" s="123">
        <f t="shared" si="1"/>
        <v>1035.99</v>
      </c>
      <c r="F17" s="124">
        <v>100</v>
      </c>
      <c r="G17" s="123">
        <f t="shared" ref="G17:G31" si="2">C17*H17/100</f>
        <v>0</v>
      </c>
      <c r="H17" s="125">
        <v>0</v>
      </c>
      <c r="I17" s="123">
        <f t="shared" ref="I17:I31" si="3">C17*J17/100</f>
        <v>0</v>
      </c>
      <c r="J17" s="126">
        <v>0</v>
      </c>
      <c r="K17" s="127">
        <f t="shared" ref="K17:K31" si="4">C17*L17/100</f>
        <v>0</v>
      </c>
      <c r="L17" s="125">
        <v>0</v>
      </c>
      <c r="M17" s="123">
        <f t="shared" ref="M17:M31" si="5">C17*N17/100</f>
        <v>0</v>
      </c>
      <c r="N17" s="126">
        <v>0</v>
      </c>
      <c r="O17" s="127">
        <f t="shared" ref="O17:O31" si="6">C17*P17/100</f>
        <v>0</v>
      </c>
      <c r="P17" s="125">
        <v>0</v>
      </c>
      <c r="Q17" s="123">
        <f t="shared" ref="Q17:Q31" si="7">C17*R17/100</f>
        <v>0</v>
      </c>
      <c r="R17" s="126">
        <v>0</v>
      </c>
      <c r="S17" s="127">
        <f t="shared" ref="S17:S31" si="8">C17*T17/100</f>
        <v>0</v>
      </c>
      <c r="T17" s="125">
        <v>0</v>
      </c>
      <c r="U17" s="123">
        <f t="shared" ref="U17:U31" si="9">(C17*V17)/100</f>
        <v>0</v>
      </c>
      <c r="V17" s="126">
        <v>0</v>
      </c>
      <c r="W17" s="127">
        <f t="shared" ref="W17:W31" si="10">(X17*C17)/100</f>
        <v>0</v>
      </c>
      <c r="X17" s="125">
        <v>0</v>
      </c>
      <c r="Y17" s="123">
        <f t="shared" ref="Y17:Y31" si="11">(Z17*C17)/100</f>
        <v>0</v>
      </c>
      <c r="Z17" s="126">
        <v>0</v>
      </c>
      <c r="AA17" s="123">
        <f t="shared" ref="AA17:AA31" si="12">(AB17*C17)/100</f>
        <v>0</v>
      </c>
      <c r="AB17" s="126">
        <v>0</v>
      </c>
      <c r="AC17" s="408">
        <f t="shared" ref="AC17:AC31" si="13">F17+H17+J17+L17+N17+P17+R17+T17+V17+X17+Z17+AB17</f>
        <v>100</v>
      </c>
    </row>
    <row r="18" spans="1:29" s="141" customFormat="1" ht="15" x14ac:dyDescent="0.2">
      <c r="A18" s="34" t="s">
        <v>171</v>
      </c>
      <c r="B18" s="27" t="str">
        <f>'[4]Ampl 02 Salas Aula'!C20</f>
        <v>INFRA - ESTRUTURA</v>
      </c>
      <c r="C18" s="16">
        <f>'Ampliação 02 Salas Aula'!K31</f>
        <v>8966.89</v>
      </c>
      <c r="D18" s="106">
        <f t="shared" si="0"/>
        <v>9.8856210681518702E-2</v>
      </c>
      <c r="E18" s="123">
        <f t="shared" si="1"/>
        <v>4483.4449999999997</v>
      </c>
      <c r="F18" s="124">
        <v>50</v>
      </c>
      <c r="G18" s="123">
        <f t="shared" si="2"/>
        <v>4483.4449999999997</v>
      </c>
      <c r="H18" s="125">
        <v>50</v>
      </c>
      <c r="I18" s="123">
        <f t="shared" si="3"/>
        <v>0</v>
      </c>
      <c r="J18" s="126">
        <v>0</v>
      </c>
      <c r="K18" s="127">
        <f t="shared" si="4"/>
        <v>0</v>
      </c>
      <c r="L18" s="125">
        <v>0</v>
      </c>
      <c r="M18" s="123">
        <f t="shared" si="5"/>
        <v>0</v>
      </c>
      <c r="N18" s="126">
        <v>0</v>
      </c>
      <c r="O18" s="127">
        <f t="shared" si="6"/>
        <v>0</v>
      </c>
      <c r="P18" s="125">
        <v>0</v>
      </c>
      <c r="Q18" s="123">
        <f t="shared" si="7"/>
        <v>0</v>
      </c>
      <c r="R18" s="126">
        <v>0</v>
      </c>
      <c r="S18" s="127">
        <f t="shared" si="8"/>
        <v>0</v>
      </c>
      <c r="T18" s="125">
        <v>0</v>
      </c>
      <c r="U18" s="123">
        <f t="shared" si="9"/>
        <v>0</v>
      </c>
      <c r="V18" s="126">
        <v>0</v>
      </c>
      <c r="W18" s="127">
        <f t="shared" si="10"/>
        <v>0</v>
      </c>
      <c r="X18" s="125">
        <v>0</v>
      </c>
      <c r="Y18" s="123">
        <f t="shared" si="11"/>
        <v>0</v>
      </c>
      <c r="Z18" s="126">
        <v>0</v>
      </c>
      <c r="AA18" s="123">
        <f t="shared" si="12"/>
        <v>0</v>
      </c>
      <c r="AB18" s="126">
        <v>0</v>
      </c>
      <c r="AC18" s="408">
        <f t="shared" si="13"/>
        <v>100</v>
      </c>
    </row>
    <row r="19" spans="1:29" s="141" customFormat="1" ht="15" x14ac:dyDescent="0.2">
      <c r="A19" s="103" t="s">
        <v>199</v>
      </c>
      <c r="B19" s="27" t="str">
        <f>'[4]Ampl 02 Salas Aula'!C27</f>
        <v>MESO E SUPER - ESTRUTURA</v>
      </c>
      <c r="C19" s="16">
        <f>'Ampliação 02 Salas Aula'!K38</f>
        <v>10174.48</v>
      </c>
      <c r="D19" s="106">
        <f t="shared" si="0"/>
        <v>0.11216938519987403</v>
      </c>
      <c r="E19" s="123">
        <f t="shared" si="1"/>
        <v>0</v>
      </c>
      <c r="F19" s="124">
        <v>0</v>
      </c>
      <c r="G19" s="123">
        <f t="shared" si="2"/>
        <v>3052.3439999999996</v>
      </c>
      <c r="H19" s="125">
        <v>30</v>
      </c>
      <c r="I19" s="123">
        <f t="shared" si="3"/>
        <v>7122.1359999999995</v>
      </c>
      <c r="J19" s="126">
        <v>70</v>
      </c>
      <c r="K19" s="127">
        <f t="shared" si="4"/>
        <v>0</v>
      </c>
      <c r="L19" s="125">
        <v>0</v>
      </c>
      <c r="M19" s="123">
        <f t="shared" si="5"/>
        <v>0</v>
      </c>
      <c r="N19" s="126">
        <v>0</v>
      </c>
      <c r="O19" s="127">
        <f t="shared" si="6"/>
        <v>0</v>
      </c>
      <c r="P19" s="125">
        <v>0</v>
      </c>
      <c r="Q19" s="123">
        <f t="shared" si="7"/>
        <v>0</v>
      </c>
      <c r="R19" s="126">
        <v>0</v>
      </c>
      <c r="S19" s="127">
        <f t="shared" si="8"/>
        <v>0</v>
      </c>
      <c r="T19" s="125">
        <v>0</v>
      </c>
      <c r="U19" s="123">
        <f t="shared" si="9"/>
        <v>0</v>
      </c>
      <c r="V19" s="126">
        <v>0</v>
      </c>
      <c r="W19" s="127">
        <f t="shared" si="10"/>
        <v>0</v>
      </c>
      <c r="X19" s="125">
        <v>0</v>
      </c>
      <c r="Y19" s="123">
        <f t="shared" si="11"/>
        <v>0</v>
      </c>
      <c r="Z19" s="126">
        <v>0</v>
      </c>
      <c r="AA19" s="123">
        <f t="shared" si="12"/>
        <v>0</v>
      </c>
      <c r="AB19" s="126">
        <v>0</v>
      </c>
      <c r="AC19" s="408">
        <f t="shared" si="13"/>
        <v>100</v>
      </c>
    </row>
    <row r="20" spans="1:29" s="141" customFormat="1" ht="45" x14ac:dyDescent="0.2">
      <c r="A20" s="103" t="s">
        <v>227</v>
      </c>
      <c r="B20" s="27" t="str">
        <f>'[4]Ampl 02 Salas Aula'!C33</f>
        <v>IMPERMEABILIZAÇÃO, TRATAMENTOS E ISOLAMENTOS TÉRMICOS</v>
      </c>
      <c r="C20" s="16">
        <f>'Ampliação 02 Salas Aula'!K41</f>
        <v>457.62</v>
      </c>
      <c r="D20" s="106">
        <f t="shared" si="0"/>
        <v>5.0450690408911664E-3</v>
      </c>
      <c r="E20" s="123">
        <f t="shared" si="1"/>
        <v>0</v>
      </c>
      <c r="F20" s="124">
        <v>0</v>
      </c>
      <c r="G20" s="123">
        <f t="shared" si="2"/>
        <v>0</v>
      </c>
      <c r="H20" s="125">
        <v>0</v>
      </c>
      <c r="I20" s="123">
        <f t="shared" si="3"/>
        <v>137.286</v>
      </c>
      <c r="J20" s="126">
        <v>30</v>
      </c>
      <c r="K20" s="127">
        <f t="shared" si="4"/>
        <v>320.334</v>
      </c>
      <c r="L20" s="125">
        <v>70</v>
      </c>
      <c r="M20" s="123">
        <f t="shared" si="5"/>
        <v>0</v>
      </c>
      <c r="N20" s="126">
        <v>0</v>
      </c>
      <c r="O20" s="127">
        <f t="shared" si="6"/>
        <v>0</v>
      </c>
      <c r="P20" s="125">
        <v>0</v>
      </c>
      <c r="Q20" s="123">
        <f t="shared" si="7"/>
        <v>0</v>
      </c>
      <c r="R20" s="126">
        <v>0</v>
      </c>
      <c r="S20" s="127">
        <f t="shared" si="8"/>
        <v>0</v>
      </c>
      <c r="T20" s="125">
        <v>0</v>
      </c>
      <c r="U20" s="123">
        <f t="shared" si="9"/>
        <v>0</v>
      </c>
      <c r="V20" s="126">
        <v>0</v>
      </c>
      <c r="W20" s="127">
        <f t="shared" si="10"/>
        <v>0</v>
      </c>
      <c r="X20" s="125">
        <v>0</v>
      </c>
      <c r="Y20" s="123">
        <f t="shared" si="11"/>
        <v>0</v>
      </c>
      <c r="Z20" s="126">
        <v>0</v>
      </c>
      <c r="AA20" s="123">
        <f t="shared" si="12"/>
        <v>0</v>
      </c>
      <c r="AB20" s="126">
        <v>0</v>
      </c>
      <c r="AC20" s="408">
        <f t="shared" si="13"/>
        <v>100</v>
      </c>
    </row>
    <row r="21" spans="1:29" s="141" customFormat="1" ht="15" x14ac:dyDescent="0.2">
      <c r="A21" s="103" t="s">
        <v>243</v>
      </c>
      <c r="B21" s="27" t="str">
        <f>'[4]Ampl 02 Salas Aula'!C36</f>
        <v>ELEMENTOS DE VEDAÇÃO</v>
      </c>
      <c r="C21" s="16">
        <f>'Ampliação 02 Salas Aula'!K45</f>
        <v>5241.62</v>
      </c>
      <c r="D21" s="106">
        <f t="shared" si="0"/>
        <v>5.7786667510414655E-2</v>
      </c>
      <c r="E21" s="123">
        <f t="shared" si="1"/>
        <v>0</v>
      </c>
      <c r="F21" s="124">
        <v>0</v>
      </c>
      <c r="G21" s="123">
        <f t="shared" si="2"/>
        <v>0</v>
      </c>
      <c r="H21" s="125">
        <v>0</v>
      </c>
      <c r="I21" s="123">
        <f t="shared" si="3"/>
        <v>1048.3239999999998</v>
      </c>
      <c r="J21" s="126">
        <v>20</v>
      </c>
      <c r="K21" s="127">
        <f t="shared" si="4"/>
        <v>2620.81</v>
      </c>
      <c r="L21" s="125">
        <v>50</v>
      </c>
      <c r="M21" s="123">
        <f t="shared" si="5"/>
        <v>1572.4860000000001</v>
      </c>
      <c r="N21" s="126">
        <v>30</v>
      </c>
      <c r="O21" s="127">
        <f t="shared" si="6"/>
        <v>0</v>
      </c>
      <c r="P21" s="125">
        <v>0</v>
      </c>
      <c r="Q21" s="123">
        <f t="shared" si="7"/>
        <v>0</v>
      </c>
      <c r="R21" s="126">
        <v>0</v>
      </c>
      <c r="S21" s="127">
        <f t="shared" si="8"/>
        <v>0</v>
      </c>
      <c r="T21" s="125">
        <v>0</v>
      </c>
      <c r="U21" s="123">
        <f t="shared" si="9"/>
        <v>0</v>
      </c>
      <c r="V21" s="126">
        <v>0</v>
      </c>
      <c r="W21" s="127">
        <f t="shared" si="10"/>
        <v>0</v>
      </c>
      <c r="X21" s="125">
        <v>0</v>
      </c>
      <c r="Y21" s="123">
        <f t="shared" si="11"/>
        <v>0</v>
      </c>
      <c r="Z21" s="126">
        <v>0</v>
      </c>
      <c r="AA21" s="123">
        <f t="shared" si="12"/>
        <v>0</v>
      </c>
      <c r="AB21" s="126">
        <v>0</v>
      </c>
      <c r="AC21" s="408">
        <f t="shared" si="13"/>
        <v>100</v>
      </c>
    </row>
    <row r="22" spans="1:29" s="141" customFormat="1" ht="15" x14ac:dyDescent="0.2">
      <c r="A22" s="103" t="s">
        <v>249</v>
      </c>
      <c r="B22" s="48" t="str">
        <f>'[4]Ampl 02 Salas Aula'!C40</f>
        <v>COBERTURA</v>
      </c>
      <c r="C22" s="16">
        <f>'Ampliação 02 Salas Aula'!K51</f>
        <v>18165.049999999996</v>
      </c>
      <c r="D22" s="106">
        <f t="shared" si="0"/>
        <v>0.20026207635426785</v>
      </c>
      <c r="E22" s="123">
        <f t="shared" si="1"/>
        <v>0</v>
      </c>
      <c r="F22" s="124">
        <v>0</v>
      </c>
      <c r="G22" s="123">
        <f t="shared" si="2"/>
        <v>0</v>
      </c>
      <c r="H22" s="125">
        <v>0</v>
      </c>
      <c r="I22" s="123">
        <f t="shared" si="3"/>
        <v>0</v>
      </c>
      <c r="J22" s="126">
        <v>0</v>
      </c>
      <c r="K22" s="127">
        <f t="shared" si="4"/>
        <v>3633.0099999999989</v>
      </c>
      <c r="L22" s="125">
        <v>20</v>
      </c>
      <c r="M22" s="123">
        <f t="shared" si="5"/>
        <v>3633.0099999999989</v>
      </c>
      <c r="N22" s="126">
        <v>20</v>
      </c>
      <c r="O22" s="127">
        <f t="shared" si="6"/>
        <v>3633.0099999999989</v>
      </c>
      <c r="P22" s="125">
        <v>20</v>
      </c>
      <c r="Q22" s="123">
        <f t="shared" si="7"/>
        <v>3633.0099999999989</v>
      </c>
      <c r="R22" s="126">
        <v>20</v>
      </c>
      <c r="S22" s="127">
        <f t="shared" si="8"/>
        <v>3633.0099999999989</v>
      </c>
      <c r="T22" s="125">
        <v>20</v>
      </c>
      <c r="U22" s="123">
        <f t="shared" si="9"/>
        <v>0</v>
      </c>
      <c r="V22" s="126">
        <v>0</v>
      </c>
      <c r="W22" s="127">
        <f t="shared" si="10"/>
        <v>0</v>
      </c>
      <c r="X22" s="125">
        <v>0</v>
      </c>
      <c r="Y22" s="123">
        <f t="shared" si="11"/>
        <v>0</v>
      </c>
      <c r="Z22" s="126">
        <v>0</v>
      </c>
      <c r="AA22" s="123">
        <f t="shared" si="12"/>
        <v>0</v>
      </c>
      <c r="AB22" s="126">
        <v>0</v>
      </c>
      <c r="AC22" s="408">
        <f t="shared" si="13"/>
        <v>100</v>
      </c>
    </row>
    <row r="23" spans="1:29" s="141" customFormat="1" ht="15" x14ac:dyDescent="0.2">
      <c r="A23" s="103" t="s">
        <v>263</v>
      </c>
      <c r="B23" s="48" t="str">
        <f>'[4]Ampl 02 Salas Aula'!C46</f>
        <v>ESQUADRIAS</v>
      </c>
      <c r="C23" s="16">
        <f>'Ampliação 02 Salas Aula'!K56</f>
        <v>5118.78</v>
      </c>
      <c r="D23" s="106">
        <f t="shared" si="0"/>
        <v>5.6432407904228141E-2</v>
      </c>
      <c r="E23" s="123">
        <f t="shared" si="1"/>
        <v>0</v>
      </c>
      <c r="F23" s="124">
        <v>0</v>
      </c>
      <c r="G23" s="123">
        <f t="shared" si="2"/>
        <v>0</v>
      </c>
      <c r="H23" s="125">
        <v>0</v>
      </c>
      <c r="I23" s="123">
        <f t="shared" si="3"/>
        <v>0</v>
      </c>
      <c r="J23" s="126">
        <v>0</v>
      </c>
      <c r="K23" s="127">
        <f t="shared" si="4"/>
        <v>0</v>
      </c>
      <c r="L23" s="125">
        <v>0</v>
      </c>
      <c r="M23" s="123">
        <f t="shared" si="5"/>
        <v>0</v>
      </c>
      <c r="N23" s="126">
        <v>0</v>
      </c>
      <c r="O23" s="127">
        <f t="shared" si="6"/>
        <v>0</v>
      </c>
      <c r="P23" s="125">
        <v>0</v>
      </c>
      <c r="Q23" s="123">
        <f t="shared" si="7"/>
        <v>0</v>
      </c>
      <c r="R23" s="126">
        <v>0</v>
      </c>
      <c r="S23" s="127">
        <f t="shared" si="8"/>
        <v>1535.634</v>
      </c>
      <c r="T23" s="125">
        <v>30</v>
      </c>
      <c r="U23" s="123">
        <f t="shared" si="9"/>
        <v>1535.634</v>
      </c>
      <c r="V23" s="126">
        <v>30</v>
      </c>
      <c r="W23" s="127">
        <f t="shared" si="10"/>
        <v>2047.5119999999997</v>
      </c>
      <c r="X23" s="125">
        <v>40</v>
      </c>
      <c r="Y23" s="123">
        <f t="shared" si="11"/>
        <v>0</v>
      </c>
      <c r="Z23" s="126">
        <v>0</v>
      </c>
      <c r="AA23" s="123">
        <f t="shared" si="12"/>
        <v>0</v>
      </c>
      <c r="AB23" s="126">
        <v>0</v>
      </c>
      <c r="AC23" s="408">
        <f t="shared" si="13"/>
        <v>100</v>
      </c>
    </row>
    <row r="24" spans="1:29" s="141" customFormat="1" ht="15" x14ac:dyDescent="0.2">
      <c r="A24" s="149" t="s">
        <v>296</v>
      </c>
      <c r="B24" s="48" t="str">
        <f>'[4]Ampl 02 Salas Aula'!C51</f>
        <v>REVESTIMENTOS</v>
      </c>
      <c r="C24" s="16">
        <f>'Ampliação 02 Salas Aula'!K60</f>
        <v>6715.39</v>
      </c>
      <c r="D24" s="106">
        <f t="shared" si="0"/>
        <v>7.4034365164350621E-2</v>
      </c>
      <c r="E24" s="123">
        <f t="shared" si="1"/>
        <v>0</v>
      </c>
      <c r="F24" s="124">
        <v>0</v>
      </c>
      <c r="G24" s="123">
        <f t="shared" si="2"/>
        <v>0</v>
      </c>
      <c r="H24" s="125">
        <v>0</v>
      </c>
      <c r="I24" s="123">
        <f t="shared" si="3"/>
        <v>0</v>
      </c>
      <c r="J24" s="126">
        <v>0</v>
      </c>
      <c r="K24" s="127">
        <f t="shared" si="4"/>
        <v>1343.0780000000002</v>
      </c>
      <c r="L24" s="125">
        <v>20</v>
      </c>
      <c r="M24" s="123">
        <f t="shared" si="5"/>
        <v>2686.1560000000004</v>
      </c>
      <c r="N24" s="126">
        <v>40</v>
      </c>
      <c r="O24" s="127">
        <f t="shared" si="6"/>
        <v>2686.1560000000004</v>
      </c>
      <c r="P24" s="125">
        <v>40</v>
      </c>
      <c r="Q24" s="123">
        <f t="shared" si="7"/>
        <v>0</v>
      </c>
      <c r="R24" s="126">
        <v>0</v>
      </c>
      <c r="S24" s="127">
        <f t="shared" si="8"/>
        <v>0</v>
      </c>
      <c r="T24" s="125">
        <v>0</v>
      </c>
      <c r="U24" s="123">
        <f t="shared" si="9"/>
        <v>0</v>
      </c>
      <c r="V24" s="126">
        <v>0</v>
      </c>
      <c r="W24" s="127">
        <f t="shared" si="10"/>
        <v>0</v>
      </c>
      <c r="X24" s="125">
        <v>0</v>
      </c>
      <c r="Y24" s="123">
        <f t="shared" si="11"/>
        <v>0</v>
      </c>
      <c r="Z24" s="126">
        <v>0</v>
      </c>
      <c r="AA24" s="123">
        <f t="shared" si="12"/>
        <v>0</v>
      </c>
      <c r="AB24" s="126">
        <v>0</v>
      </c>
      <c r="AC24" s="408">
        <f t="shared" si="13"/>
        <v>100</v>
      </c>
    </row>
    <row r="25" spans="1:29" s="141" customFormat="1" ht="15" x14ac:dyDescent="0.2">
      <c r="A25" s="149" t="s">
        <v>314</v>
      </c>
      <c r="B25" s="48" t="str">
        <f>'[4]Ampl 02 Salas Aula'!C55</f>
        <v>PISOS</v>
      </c>
      <c r="C25" s="16">
        <f>'Ampliação 02 Salas Aula'!K68</f>
        <v>15105.61</v>
      </c>
      <c r="D25" s="106">
        <f t="shared" si="0"/>
        <v>0.16653303036313102</v>
      </c>
      <c r="E25" s="123">
        <f t="shared" si="1"/>
        <v>0</v>
      </c>
      <c r="F25" s="124">
        <v>0</v>
      </c>
      <c r="G25" s="123">
        <f t="shared" si="2"/>
        <v>0</v>
      </c>
      <c r="H25" s="125">
        <v>0</v>
      </c>
      <c r="I25" s="123">
        <f t="shared" si="3"/>
        <v>0</v>
      </c>
      <c r="J25" s="126">
        <v>0</v>
      </c>
      <c r="K25" s="127">
        <f t="shared" si="4"/>
        <v>0</v>
      </c>
      <c r="L25" s="125">
        <v>0</v>
      </c>
      <c r="M25" s="123">
        <f t="shared" si="5"/>
        <v>0</v>
      </c>
      <c r="N25" s="126">
        <v>0</v>
      </c>
      <c r="O25" s="127">
        <f t="shared" si="6"/>
        <v>4531.6830000000009</v>
      </c>
      <c r="P25" s="125">
        <v>30</v>
      </c>
      <c r="Q25" s="123">
        <f t="shared" si="7"/>
        <v>4531.6830000000009</v>
      </c>
      <c r="R25" s="126">
        <v>30</v>
      </c>
      <c r="S25" s="127">
        <f t="shared" si="8"/>
        <v>6042.2440000000006</v>
      </c>
      <c r="T25" s="125">
        <v>40</v>
      </c>
      <c r="U25" s="123">
        <f t="shared" si="9"/>
        <v>0</v>
      </c>
      <c r="V25" s="126">
        <v>0</v>
      </c>
      <c r="W25" s="127">
        <f t="shared" si="10"/>
        <v>0</v>
      </c>
      <c r="X25" s="125">
        <v>0</v>
      </c>
      <c r="Y25" s="123">
        <f t="shared" si="11"/>
        <v>0</v>
      </c>
      <c r="Z25" s="126">
        <v>0</v>
      </c>
      <c r="AA25" s="123">
        <f t="shared" si="12"/>
        <v>0</v>
      </c>
      <c r="AB25" s="126">
        <v>0</v>
      </c>
      <c r="AC25" s="408">
        <f t="shared" si="13"/>
        <v>100</v>
      </c>
    </row>
    <row r="26" spans="1:29" s="141" customFormat="1" ht="15" x14ac:dyDescent="0.2">
      <c r="A26" s="149" t="s">
        <v>340</v>
      </c>
      <c r="B26" s="48" t="str">
        <f>'[4]Ampl 02 Salas Aula'!C61</f>
        <v>FORROS E DIVISÓRIAS</v>
      </c>
      <c r="C26" s="16">
        <f>'Ampliação 02 Salas Aula'!K71</f>
        <v>6908.44</v>
      </c>
      <c r="D26" s="106">
        <f t="shared" si="0"/>
        <v>7.616266064606915E-2</v>
      </c>
      <c r="E26" s="123">
        <f t="shared" si="1"/>
        <v>0</v>
      </c>
      <c r="F26" s="124">
        <v>0</v>
      </c>
      <c r="G26" s="123">
        <f t="shared" si="2"/>
        <v>0</v>
      </c>
      <c r="H26" s="125">
        <v>0</v>
      </c>
      <c r="I26" s="123">
        <f t="shared" si="3"/>
        <v>0</v>
      </c>
      <c r="J26" s="126">
        <v>0</v>
      </c>
      <c r="K26" s="127">
        <f t="shared" si="4"/>
        <v>0</v>
      </c>
      <c r="L26" s="125">
        <v>0</v>
      </c>
      <c r="M26" s="123">
        <f t="shared" si="5"/>
        <v>0</v>
      </c>
      <c r="N26" s="126">
        <v>0</v>
      </c>
      <c r="O26" s="127">
        <f t="shared" si="6"/>
        <v>0</v>
      </c>
      <c r="P26" s="125">
        <v>0</v>
      </c>
      <c r="Q26" s="123">
        <f t="shared" si="7"/>
        <v>0</v>
      </c>
      <c r="R26" s="126">
        <v>0</v>
      </c>
      <c r="S26" s="127">
        <f t="shared" si="8"/>
        <v>0</v>
      </c>
      <c r="T26" s="125">
        <v>0</v>
      </c>
      <c r="U26" s="123">
        <f t="shared" si="9"/>
        <v>2072.5319999999997</v>
      </c>
      <c r="V26" s="126">
        <v>30</v>
      </c>
      <c r="W26" s="127">
        <f t="shared" si="10"/>
        <v>2072.5319999999997</v>
      </c>
      <c r="X26" s="125">
        <v>30</v>
      </c>
      <c r="Y26" s="123">
        <f t="shared" si="11"/>
        <v>2763.3759999999997</v>
      </c>
      <c r="Z26" s="126">
        <v>40</v>
      </c>
      <c r="AA26" s="123">
        <f t="shared" si="12"/>
        <v>0</v>
      </c>
      <c r="AB26" s="126">
        <v>0</v>
      </c>
      <c r="AC26" s="408">
        <f t="shared" si="13"/>
        <v>100</v>
      </c>
    </row>
    <row r="27" spans="1:29" s="141" customFormat="1" ht="15" x14ac:dyDescent="0.2">
      <c r="A27" s="149" t="s">
        <v>374</v>
      </c>
      <c r="B27" s="48" t="str">
        <f>'[4]Ampl 02 Salas Aula'!C64</f>
        <v>VIDROS</v>
      </c>
      <c r="C27" s="16">
        <f>'Ampliação 02 Salas Aula'!K74</f>
        <v>1060.4100000000001</v>
      </c>
      <c r="D27" s="106">
        <f t="shared" si="0"/>
        <v>1.1690576595540847E-2</v>
      </c>
      <c r="E27" s="123">
        <f t="shared" si="1"/>
        <v>0</v>
      </c>
      <c r="F27" s="124">
        <v>0</v>
      </c>
      <c r="G27" s="123">
        <f t="shared" si="2"/>
        <v>0</v>
      </c>
      <c r="H27" s="125">
        <v>0</v>
      </c>
      <c r="I27" s="123">
        <f t="shared" si="3"/>
        <v>0</v>
      </c>
      <c r="J27" s="126">
        <v>0</v>
      </c>
      <c r="K27" s="127">
        <f t="shared" si="4"/>
        <v>0</v>
      </c>
      <c r="L27" s="125">
        <v>0</v>
      </c>
      <c r="M27" s="123">
        <f t="shared" si="5"/>
        <v>0</v>
      </c>
      <c r="N27" s="126">
        <v>0</v>
      </c>
      <c r="O27" s="127">
        <f t="shared" si="6"/>
        <v>0</v>
      </c>
      <c r="P27" s="125">
        <v>0</v>
      </c>
      <c r="Q27" s="123">
        <f t="shared" si="7"/>
        <v>0</v>
      </c>
      <c r="R27" s="126">
        <v>0</v>
      </c>
      <c r="S27" s="127">
        <f t="shared" si="8"/>
        <v>0</v>
      </c>
      <c r="T27" s="125">
        <v>0</v>
      </c>
      <c r="U27" s="123">
        <f t="shared" si="9"/>
        <v>0</v>
      </c>
      <c r="V27" s="126">
        <v>0</v>
      </c>
      <c r="W27" s="127">
        <f t="shared" si="10"/>
        <v>0</v>
      </c>
      <c r="X27" s="125">
        <v>0</v>
      </c>
      <c r="Y27" s="123">
        <f t="shared" si="11"/>
        <v>530.20500000000004</v>
      </c>
      <c r="Z27" s="126">
        <v>50</v>
      </c>
      <c r="AA27" s="123">
        <f t="shared" si="12"/>
        <v>530.20500000000004</v>
      </c>
      <c r="AB27" s="126">
        <v>50</v>
      </c>
      <c r="AC27" s="408">
        <f t="shared" si="13"/>
        <v>100</v>
      </c>
    </row>
    <row r="28" spans="1:29" s="141" customFormat="1" ht="15" x14ac:dyDescent="0.2">
      <c r="A28" s="149" t="s">
        <v>384</v>
      </c>
      <c r="B28" s="48" t="str">
        <f>'[4]Ampl 02 Salas Aula'!C67</f>
        <v>PINTURA</v>
      </c>
      <c r="C28" s="16">
        <f>'Ampliação 02 Salas Aula'!K80</f>
        <v>8961.08</v>
      </c>
      <c r="D28" s="106">
        <f t="shared" si="0"/>
        <v>9.8792157862307176E-2</v>
      </c>
      <c r="E28" s="123">
        <f t="shared" si="1"/>
        <v>0</v>
      </c>
      <c r="F28" s="124">
        <v>0</v>
      </c>
      <c r="G28" s="123">
        <f t="shared" si="2"/>
        <v>0</v>
      </c>
      <c r="H28" s="125">
        <v>0</v>
      </c>
      <c r="I28" s="123">
        <f t="shared" si="3"/>
        <v>0</v>
      </c>
      <c r="J28" s="126">
        <v>0</v>
      </c>
      <c r="K28" s="127">
        <f t="shared" si="4"/>
        <v>0</v>
      </c>
      <c r="L28" s="125">
        <v>0</v>
      </c>
      <c r="M28" s="123">
        <f t="shared" si="5"/>
        <v>0</v>
      </c>
      <c r="N28" s="126">
        <v>0</v>
      </c>
      <c r="O28" s="127">
        <f t="shared" si="6"/>
        <v>0</v>
      </c>
      <c r="P28" s="125">
        <v>0</v>
      </c>
      <c r="Q28" s="123">
        <f t="shared" si="7"/>
        <v>0</v>
      </c>
      <c r="R28" s="126">
        <v>0</v>
      </c>
      <c r="S28" s="127">
        <f t="shared" si="8"/>
        <v>0</v>
      </c>
      <c r="T28" s="125">
        <v>0</v>
      </c>
      <c r="U28" s="123">
        <f t="shared" si="9"/>
        <v>0</v>
      </c>
      <c r="V28" s="126">
        <v>0</v>
      </c>
      <c r="W28" s="127">
        <f t="shared" si="10"/>
        <v>2688.3240000000001</v>
      </c>
      <c r="X28" s="125">
        <v>30</v>
      </c>
      <c r="Y28" s="123">
        <f t="shared" si="11"/>
        <v>2688.3240000000001</v>
      </c>
      <c r="Z28" s="126">
        <v>30</v>
      </c>
      <c r="AA28" s="123">
        <f t="shared" si="12"/>
        <v>3584.4320000000002</v>
      </c>
      <c r="AB28" s="126">
        <v>40</v>
      </c>
      <c r="AC28" s="408">
        <f t="shared" si="13"/>
        <v>100</v>
      </c>
    </row>
    <row r="29" spans="1:29" s="141" customFormat="1" ht="30" x14ac:dyDescent="0.2">
      <c r="A29" s="149" t="s">
        <v>390</v>
      </c>
      <c r="B29" s="52" t="str">
        <f>'[4]Ampl 02 Salas Aula'!C72</f>
        <v>SERVIÇOS CONSTRUTIVOS COMPLEMENTARES</v>
      </c>
      <c r="C29" s="26">
        <f>'Ampliação 02 Salas Aula'!K83</f>
        <v>522.12</v>
      </c>
      <c r="D29" s="106">
        <f t="shared" si="0"/>
        <v>5.7561545553736632E-3</v>
      </c>
      <c r="E29" s="123">
        <f t="shared" si="1"/>
        <v>0</v>
      </c>
      <c r="F29" s="124">
        <v>0</v>
      </c>
      <c r="G29" s="123">
        <f t="shared" si="2"/>
        <v>0</v>
      </c>
      <c r="H29" s="125">
        <v>0</v>
      </c>
      <c r="I29" s="123">
        <f t="shared" si="3"/>
        <v>0</v>
      </c>
      <c r="J29" s="126">
        <v>0</v>
      </c>
      <c r="K29" s="127">
        <f t="shared" si="4"/>
        <v>0</v>
      </c>
      <c r="L29" s="125">
        <v>0</v>
      </c>
      <c r="M29" s="123">
        <f t="shared" si="5"/>
        <v>0</v>
      </c>
      <c r="N29" s="126">
        <v>0</v>
      </c>
      <c r="O29" s="127">
        <f t="shared" si="6"/>
        <v>0</v>
      </c>
      <c r="P29" s="125">
        <v>0</v>
      </c>
      <c r="Q29" s="123">
        <f t="shared" si="7"/>
        <v>0</v>
      </c>
      <c r="R29" s="126">
        <v>0</v>
      </c>
      <c r="S29" s="127">
        <f t="shared" si="8"/>
        <v>0</v>
      </c>
      <c r="T29" s="125">
        <v>0</v>
      </c>
      <c r="U29" s="123">
        <f t="shared" si="9"/>
        <v>0</v>
      </c>
      <c r="V29" s="126">
        <v>0</v>
      </c>
      <c r="W29" s="127">
        <f t="shared" si="10"/>
        <v>0</v>
      </c>
      <c r="X29" s="125">
        <v>0</v>
      </c>
      <c r="Y29" s="123">
        <f t="shared" si="11"/>
        <v>261.06</v>
      </c>
      <c r="Z29" s="126">
        <v>50</v>
      </c>
      <c r="AA29" s="123">
        <f t="shared" si="12"/>
        <v>261.06</v>
      </c>
      <c r="AB29" s="126">
        <v>50</v>
      </c>
      <c r="AC29" s="408">
        <f t="shared" si="13"/>
        <v>100</v>
      </c>
    </row>
    <row r="30" spans="1:29" s="141" customFormat="1" ht="15" x14ac:dyDescent="0.2">
      <c r="A30" s="149" t="s">
        <v>412</v>
      </c>
      <c r="B30" s="52" t="str">
        <f>'[4]Ampl 02 Salas Aula'!C75</f>
        <v>URBANIZAÇÃO E PAISAGISMO</v>
      </c>
      <c r="C30" s="16">
        <f>'Ampliação 02 Salas Aula'!K86</f>
        <v>1095.8900000000001</v>
      </c>
      <c r="D30" s="106">
        <f t="shared" si="0"/>
        <v>1.208172875141432E-2</v>
      </c>
      <c r="E30" s="123">
        <f t="shared" si="1"/>
        <v>0</v>
      </c>
      <c r="F30" s="124">
        <v>0</v>
      </c>
      <c r="G30" s="123">
        <f t="shared" si="2"/>
        <v>0</v>
      </c>
      <c r="H30" s="125">
        <v>0</v>
      </c>
      <c r="I30" s="123">
        <f t="shared" si="3"/>
        <v>0</v>
      </c>
      <c r="J30" s="126">
        <v>0</v>
      </c>
      <c r="K30" s="127">
        <f t="shared" si="4"/>
        <v>0</v>
      </c>
      <c r="L30" s="125">
        <v>0</v>
      </c>
      <c r="M30" s="123">
        <f t="shared" si="5"/>
        <v>0</v>
      </c>
      <c r="N30" s="126">
        <v>0</v>
      </c>
      <c r="O30" s="127">
        <f t="shared" si="6"/>
        <v>0</v>
      </c>
      <c r="P30" s="125">
        <v>0</v>
      </c>
      <c r="Q30" s="123">
        <f t="shared" si="7"/>
        <v>0</v>
      </c>
      <c r="R30" s="126">
        <v>0</v>
      </c>
      <c r="S30" s="127">
        <f t="shared" si="8"/>
        <v>0</v>
      </c>
      <c r="T30" s="125">
        <v>0</v>
      </c>
      <c r="U30" s="123">
        <f t="shared" si="9"/>
        <v>0</v>
      </c>
      <c r="V30" s="126">
        <v>0</v>
      </c>
      <c r="W30" s="127">
        <f t="shared" si="10"/>
        <v>0</v>
      </c>
      <c r="X30" s="125">
        <v>0</v>
      </c>
      <c r="Y30" s="123">
        <f t="shared" si="11"/>
        <v>547.94500000000005</v>
      </c>
      <c r="Z30" s="126">
        <v>50</v>
      </c>
      <c r="AA30" s="123">
        <f t="shared" si="12"/>
        <v>547.94500000000005</v>
      </c>
      <c r="AB30" s="126">
        <v>50</v>
      </c>
      <c r="AC30" s="408">
        <f t="shared" si="13"/>
        <v>100</v>
      </c>
    </row>
    <row r="31" spans="1:29" s="141" customFormat="1" ht="15" x14ac:dyDescent="0.2">
      <c r="A31" s="149" t="s">
        <v>463</v>
      </c>
      <c r="B31" s="54" t="str">
        <f>'[4]Ampl 02 Salas Aula'!C78</f>
        <v>LIMPEZA</v>
      </c>
      <c r="C31" s="16">
        <f>'Ampliação 02 Salas Aula'!K89</f>
        <v>611.51</v>
      </c>
      <c r="D31" s="106">
        <f t="shared" si="0"/>
        <v>6.7416419063750649E-3</v>
      </c>
      <c r="E31" s="123">
        <f t="shared" si="1"/>
        <v>0</v>
      </c>
      <c r="F31" s="124">
        <v>0</v>
      </c>
      <c r="G31" s="123">
        <f t="shared" si="2"/>
        <v>0</v>
      </c>
      <c r="H31" s="125">
        <v>0</v>
      </c>
      <c r="I31" s="123">
        <f t="shared" si="3"/>
        <v>0</v>
      </c>
      <c r="J31" s="126">
        <v>0</v>
      </c>
      <c r="K31" s="127">
        <f t="shared" si="4"/>
        <v>0</v>
      </c>
      <c r="L31" s="125">
        <v>0</v>
      </c>
      <c r="M31" s="123">
        <f t="shared" si="5"/>
        <v>0</v>
      </c>
      <c r="N31" s="126">
        <v>0</v>
      </c>
      <c r="O31" s="127">
        <f t="shared" si="6"/>
        <v>0</v>
      </c>
      <c r="P31" s="125">
        <v>0</v>
      </c>
      <c r="Q31" s="123">
        <f t="shared" si="7"/>
        <v>0</v>
      </c>
      <c r="R31" s="126">
        <v>0</v>
      </c>
      <c r="S31" s="127">
        <f t="shared" si="8"/>
        <v>0</v>
      </c>
      <c r="T31" s="125">
        <v>0</v>
      </c>
      <c r="U31" s="123">
        <f t="shared" si="9"/>
        <v>0</v>
      </c>
      <c r="V31" s="126">
        <v>0</v>
      </c>
      <c r="W31" s="127">
        <f t="shared" si="10"/>
        <v>0</v>
      </c>
      <c r="X31" s="125">
        <v>0</v>
      </c>
      <c r="Y31" s="123">
        <f t="shared" si="11"/>
        <v>0</v>
      </c>
      <c r="Z31" s="126">
        <v>0</v>
      </c>
      <c r="AA31" s="123">
        <f t="shared" si="12"/>
        <v>611.51</v>
      </c>
      <c r="AB31" s="126">
        <v>100</v>
      </c>
      <c r="AC31" s="408">
        <f t="shared" si="13"/>
        <v>100</v>
      </c>
    </row>
    <row r="32" spans="1:29" s="141" customFormat="1" ht="15" x14ac:dyDescent="0.2">
      <c r="A32" s="675" t="s">
        <v>502</v>
      </c>
      <c r="B32" s="676"/>
      <c r="C32" s="24">
        <f>SUM(C16:C31)</f>
        <v>90706.389999999985</v>
      </c>
      <c r="D32" s="107">
        <f>SUM(D16:D31)</f>
        <v>1.0000000000000002</v>
      </c>
      <c r="E32" s="150">
        <f>SUM(E16:E31)</f>
        <v>6084.9449999999997</v>
      </c>
      <c r="F32" s="151">
        <f>E32/$C$32</f>
        <v>6.7083972805003056E-2</v>
      </c>
      <c r="G32" s="152">
        <f>SUM(G16:G31)</f>
        <v>7535.7889999999989</v>
      </c>
      <c r="H32" s="151">
        <f>G32/$C$32</f>
        <v>8.3078920900721553E-2</v>
      </c>
      <c r="I32" s="150">
        <f>SUM(I16:I31)</f>
        <v>8307.7459999999992</v>
      </c>
      <c r="J32" s="151">
        <f>I32/$C$32</f>
        <v>9.1589423854262095E-2</v>
      </c>
      <c r="K32" s="152">
        <f>SUM(K16:K31)</f>
        <v>7917.2319999999991</v>
      </c>
      <c r="L32" s="151">
        <f>K32/$C$32</f>
        <v>8.7284170387554844E-2</v>
      </c>
      <c r="M32" s="150">
        <f>SUM(M16:M31)</f>
        <v>7891.652</v>
      </c>
      <c r="N32" s="151">
        <f>M32/$C$32</f>
        <v>8.7002161589718227E-2</v>
      </c>
      <c r="O32" s="152">
        <f>SUM(O16:O31)</f>
        <v>10850.849</v>
      </c>
      <c r="P32" s="151">
        <f>O32/$C$32</f>
        <v>0.11962607044553313</v>
      </c>
      <c r="Q32" s="150">
        <f>SUM(Q16:Q31)</f>
        <v>8164.6929999999993</v>
      </c>
      <c r="R32" s="151">
        <f>Q32/$C$32</f>
        <v>9.0012324379792868E-2</v>
      </c>
      <c r="S32" s="152">
        <f>SUM(S16:S31)</f>
        <v>11210.887999999999</v>
      </c>
      <c r="T32" s="151">
        <f>S32/$C$32</f>
        <v>0.12359534978737442</v>
      </c>
      <c r="U32" s="150">
        <f>SUM(U16:U31)</f>
        <v>3608.1659999999997</v>
      </c>
      <c r="V32" s="151">
        <f>U32/$C$32</f>
        <v>3.9778520565089188E-2</v>
      </c>
      <c r="W32" s="152">
        <f>SUM(W16:W31)</f>
        <v>6808.3680000000004</v>
      </c>
      <c r="X32" s="151">
        <f>W32/$C$32</f>
        <v>7.5059408714204162E-2</v>
      </c>
      <c r="Y32" s="150">
        <f>SUM(Y16:Y31)</f>
        <v>6790.91</v>
      </c>
      <c r="Z32" s="151">
        <f>Y32/$C$32</f>
        <v>7.4866941568284232E-2</v>
      </c>
      <c r="AA32" s="152">
        <f>SUM(AA16:AA31)</f>
        <v>5535.152000000001</v>
      </c>
      <c r="AB32" s="151">
        <f>AA32/$C$32</f>
        <v>6.1022735002462358E-2</v>
      </c>
    </row>
    <row r="33" spans="1:28" s="141" customFormat="1" ht="15" x14ac:dyDescent="0.2">
      <c r="A33" s="675" t="s">
        <v>503</v>
      </c>
      <c r="B33" s="676"/>
      <c r="C33" s="17"/>
      <c r="D33" s="153"/>
      <c r="E33" s="150">
        <f>SUM(E32)</f>
        <v>6084.9449999999997</v>
      </c>
      <c r="F33" s="151">
        <f>E33/C32</f>
        <v>6.7083972805003056E-2</v>
      </c>
      <c r="G33" s="152">
        <f t="shared" ref="G33:AB33" si="14">E33+G32</f>
        <v>13620.733999999999</v>
      </c>
      <c r="H33" s="153">
        <f t="shared" si="14"/>
        <v>0.15016289370572461</v>
      </c>
      <c r="I33" s="150">
        <f t="shared" si="14"/>
        <v>21928.479999999996</v>
      </c>
      <c r="J33" s="151">
        <f t="shared" si="14"/>
        <v>0.24175231755998672</v>
      </c>
      <c r="K33" s="152">
        <f t="shared" si="14"/>
        <v>29845.711999999996</v>
      </c>
      <c r="L33" s="153">
        <f t="shared" si="14"/>
        <v>0.32903648794754159</v>
      </c>
      <c r="M33" s="150">
        <f t="shared" si="14"/>
        <v>37737.363999999994</v>
      </c>
      <c r="N33" s="151">
        <f t="shared" si="14"/>
        <v>0.41603864953725983</v>
      </c>
      <c r="O33" s="152">
        <f t="shared" si="14"/>
        <v>48588.212999999996</v>
      </c>
      <c r="P33" s="153">
        <f t="shared" si="14"/>
        <v>0.53566471998279297</v>
      </c>
      <c r="Q33" s="150">
        <f t="shared" si="14"/>
        <v>56752.905999999995</v>
      </c>
      <c r="R33" s="151">
        <f t="shared" si="14"/>
        <v>0.62567704436258587</v>
      </c>
      <c r="S33" s="152">
        <f t="shared" si="14"/>
        <v>67963.793999999994</v>
      </c>
      <c r="T33" s="153">
        <f t="shared" si="14"/>
        <v>0.74927239414996027</v>
      </c>
      <c r="U33" s="150">
        <f t="shared" si="14"/>
        <v>71571.959999999992</v>
      </c>
      <c r="V33" s="151">
        <f t="shared" si="14"/>
        <v>0.78905091471504951</v>
      </c>
      <c r="W33" s="152">
        <f t="shared" si="14"/>
        <v>78380.327999999994</v>
      </c>
      <c r="X33" s="153">
        <f t="shared" si="14"/>
        <v>0.86411032342925365</v>
      </c>
      <c r="Y33" s="150">
        <f t="shared" si="14"/>
        <v>85171.237999999998</v>
      </c>
      <c r="Z33" s="151">
        <f t="shared" si="14"/>
        <v>0.93897726499753786</v>
      </c>
      <c r="AA33" s="152">
        <f t="shared" si="14"/>
        <v>90706.39</v>
      </c>
      <c r="AB33" s="151">
        <f t="shared" si="14"/>
        <v>1.0000000000000002</v>
      </c>
    </row>
    <row r="34" spans="1:28" ht="15.75" thickBot="1" x14ac:dyDescent="0.3">
      <c r="A34" s="677" t="str">
        <f>RESUMO!A22</f>
        <v>CUIABÁ - MT, 04 DE NOVEMBRO DE 2022</v>
      </c>
      <c r="B34" s="678"/>
      <c r="C34" s="678"/>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9"/>
    </row>
  </sheetData>
  <mergeCells count="20">
    <mergeCell ref="A33:B33"/>
    <mergeCell ref="A34:AB34"/>
    <mergeCell ref="W14:X14"/>
    <mergeCell ref="Y14:Z14"/>
    <mergeCell ref="AA14:AB14"/>
    <mergeCell ref="A32:B32"/>
    <mergeCell ref="O14:P14"/>
    <mergeCell ref="Q14:R14"/>
    <mergeCell ref="S14:T14"/>
    <mergeCell ref="U14:V14"/>
    <mergeCell ref="A12:V12"/>
    <mergeCell ref="A13:A15"/>
    <mergeCell ref="B13:B15"/>
    <mergeCell ref="C13:D14"/>
    <mergeCell ref="E13:AB13"/>
    <mergeCell ref="E14:F14"/>
    <mergeCell ref="G14:H14"/>
    <mergeCell ref="I14:J14"/>
    <mergeCell ref="K14:L14"/>
    <mergeCell ref="M14:N14"/>
  </mergeCells>
  <phoneticPr fontId="14" type="noConversion"/>
  <pageMargins left="0.19685039370078741" right="0.19685039370078741" top="0.98425196850393704" bottom="0.98425196850393704" header="0.51181102362204722" footer="0.51181102362204722"/>
  <pageSetup paperSize="9" scale="5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topLeftCell="A4"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28</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'10ª Med'!K9:L9+30</f>
        <v>39940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Reforma!AS147-G19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Aula'!AS90-G20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Elétrica!AS127-G22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Drenagem!AS23-G23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5:I17"/>
    <mergeCell ref="J15:J17"/>
    <mergeCell ref="I36:K36"/>
    <mergeCell ref="C30:L31"/>
    <mergeCell ref="K15:K17"/>
    <mergeCell ref="L15:L17"/>
    <mergeCell ref="D36:E36"/>
    <mergeCell ref="A25:B25"/>
    <mergeCell ref="H15:H17"/>
    <mergeCell ref="A15:A17"/>
    <mergeCell ref="D15:D17"/>
    <mergeCell ref="G15:G17"/>
    <mergeCell ref="B15:B17"/>
    <mergeCell ref="C15:C17"/>
    <mergeCell ref="E15:E17"/>
    <mergeCell ref="F15:F17"/>
    <mergeCell ref="A6:L6"/>
    <mergeCell ref="I7:J7"/>
    <mergeCell ref="I8:J8"/>
    <mergeCell ref="I9:J9"/>
    <mergeCell ref="K7:L7"/>
    <mergeCell ref="K8:L8"/>
    <mergeCell ref="K9:L9"/>
    <mergeCell ref="I12:J12"/>
    <mergeCell ref="K12:L12"/>
    <mergeCell ref="I13:J13"/>
    <mergeCell ref="K10:L10"/>
    <mergeCell ref="I10:J10"/>
    <mergeCell ref="I11:J11"/>
    <mergeCell ref="K11:L11"/>
    <mergeCell ref="K13:L13"/>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view="pageBreakPreview" zoomScaleNormal="100" zoomScaleSheetLayoutView="100" workbookViewId="0">
      <selection activeCell="J5" sqref="J5"/>
    </sheetView>
  </sheetViews>
  <sheetFormatPr defaultColWidth="9.140625" defaultRowHeight="15.75" x14ac:dyDescent="0.25"/>
  <cols>
    <col min="1" max="1" width="14.5703125" style="376" bestFit="1" customWidth="1"/>
    <col min="2" max="2" width="73.5703125" style="376" customWidth="1"/>
    <col min="3" max="3" width="20.5703125" style="376" bestFit="1" customWidth="1"/>
    <col min="4" max="4" width="13.28515625" style="376" bestFit="1" customWidth="1"/>
    <col min="5" max="5" width="17" style="376" bestFit="1" customWidth="1"/>
    <col min="6" max="6" width="9.85546875" style="376" bestFit="1" customWidth="1"/>
    <col min="7" max="7" width="17.5703125" style="376" bestFit="1" customWidth="1"/>
    <col min="8" max="8" width="10.42578125" style="376" bestFit="1" customWidth="1"/>
    <col min="9" max="9" width="16.28515625" style="376" bestFit="1" customWidth="1"/>
    <col min="10" max="10" width="11.28515625" style="376" bestFit="1" customWidth="1"/>
    <col min="11" max="16384" width="9.140625" style="376"/>
  </cols>
  <sheetData>
    <row r="1" spans="1:10" ht="153" customHeight="1" x14ac:dyDescent="0.25">
      <c r="A1" s="631" t="s">
        <v>1412</v>
      </c>
      <c r="B1" s="698"/>
      <c r="C1" s="698"/>
      <c r="D1" s="698"/>
      <c r="E1" s="698"/>
      <c r="F1" s="698"/>
      <c r="G1" s="698"/>
      <c r="H1" s="698"/>
      <c r="I1" s="698"/>
      <c r="J1" s="699"/>
    </row>
    <row r="2" spans="1:10" x14ac:dyDescent="0.25">
      <c r="A2" s="430" t="str">
        <f>RESUMO!A2</f>
        <v>OBRA:</v>
      </c>
      <c r="B2" s="690" t="str">
        <f>RESUMO!B2</f>
        <v>EXECUÇÃO DE REDE DE DISTRIBUIÇÃO DE MÉDIA TENSÃO, POSTO DE TRANSFORMAÇÃO DE 225KVA E 45KVA- HOSPITAL VETERINÁRIO CENTRO DE REABILITAÇÃO DE ANIMAIS SILVESTRES - CRAS</v>
      </c>
      <c r="C2" s="691"/>
      <c r="D2" s="691"/>
      <c r="E2" s="691"/>
      <c r="F2" s="691"/>
      <c r="G2" s="691"/>
      <c r="H2" s="691"/>
      <c r="I2" s="691"/>
      <c r="J2" s="692"/>
    </row>
    <row r="3" spans="1:10" x14ac:dyDescent="0.25">
      <c r="A3" s="430" t="str">
        <f>RESUMO!A3</f>
        <v>ENDEREÇO:</v>
      </c>
      <c r="B3" s="690" t="str">
        <f>RESUMO!B3</f>
        <v>RUA DE ACESSO AO INPE (ATRÁS DA ASSOFT), BAIRRO CENTRO POLITICO ADMINISTRATIVO, CUIABÁ-MT</v>
      </c>
      <c r="C3" s="691"/>
      <c r="D3" s="691"/>
      <c r="E3" s="691"/>
      <c r="F3" s="691"/>
      <c r="G3" s="691"/>
      <c r="H3" s="691"/>
      <c r="I3" s="691"/>
      <c r="J3" s="692"/>
    </row>
    <row r="4" spans="1:10" x14ac:dyDescent="0.25">
      <c r="A4" s="430" t="str">
        <f>RESUMO!A4</f>
        <v>MUNICÍPIO:</v>
      </c>
      <c r="B4" s="707" t="str">
        <f>RESUMO!B4</f>
        <v>CUIABÁ - MT</v>
      </c>
      <c r="C4" s="708"/>
      <c r="D4" s="708"/>
      <c r="E4" s="708"/>
      <c r="F4" s="708"/>
      <c r="G4" s="708"/>
      <c r="H4" s="709"/>
      <c r="I4" s="431" t="str">
        <f>RESUMO!C3</f>
        <v>BDI:</v>
      </c>
      <c r="J4" s="432">
        <f>BDI!D30</f>
        <v>0.22226164190779008</v>
      </c>
    </row>
    <row r="5" spans="1:10" x14ac:dyDescent="0.25">
      <c r="A5" s="430" t="str">
        <f>RESUMO!A5</f>
        <v>ASSUNTO:</v>
      </c>
      <c r="B5" s="707" t="str">
        <f>RESUMO!B5</f>
        <v xml:space="preserve">PROJETO ELÉTRICO DE REDE DE DISTRIBUIÇÃO DE MÉDIA TENSÃO, POSTO DE TRANSFORMAÇÃO DE 225KVA E 45KVA </v>
      </c>
      <c r="C5" s="708"/>
      <c r="D5" s="708"/>
      <c r="E5" s="708"/>
      <c r="F5" s="708"/>
      <c r="G5" s="708"/>
      <c r="H5" s="709"/>
      <c r="I5" s="433" t="str">
        <f>RESUMO!C4</f>
        <v>DATA:</v>
      </c>
      <c r="J5" s="434">
        <f>RESUMO!D4</f>
        <v>44869</v>
      </c>
    </row>
    <row r="6" spans="1:10" x14ac:dyDescent="0.25">
      <c r="A6" s="625"/>
      <c r="B6" s="626"/>
      <c r="C6" s="626"/>
      <c r="D6" s="626"/>
      <c r="E6" s="626"/>
      <c r="F6" s="626"/>
      <c r="G6" s="626"/>
      <c r="H6" s="626"/>
      <c r="I6" s="626"/>
      <c r="J6" s="627"/>
    </row>
    <row r="7" spans="1:10" ht="15" customHeight="1" x14ac:dyDescent="0.25">
      <c r="A7" s="702" t="s">
        <v>482</v>
      </c>
      <c r="B7" s="703"/>
      <c r="C7" s="703"/>
      <c r="D7" s="703"/>
      <c r="E7" s="703"/>
      <c r="F7" s="703"/>
      <c r="G7" s="703"/>
      <c r="H7" s="703"/>
      <c r="I7" s="703"/>
      <c r="J7" s="704"/>
    </row>
    <row r="8" spans="1:10" x14ac:dyDescent="0.25">
      <c r="A8" s="702"/>
      <c r="B8" s="703"/>
      <c r="C8" s="703"/>
      <c r="D8" s="703"/>
      <c r="E8" s="703"/>
      <c r="F8" s="703"/>
      <c r="G8" s="703"/>
      <c r="H8" s="703"/>
      <c r="I8" s="703"/>
      <c r="J8" s="704"/>
    </row>
    <row r="9" spans="1:10" x14ac:dyDescent="0.25">
      <c r="A9" s="705" t="s">
        <v>13</v>
      </c>
      <c r="B9" s="706" t="s">
        <v>485</v>
      </c>
      <c r="C9" s="626" t="s">
        <v>486</v>
      </c>
      <c r="D9" s="626"/>
      <c r="E9" s="626" t="s">
        <v>487</v>
      </c>
      <c r="F9" s="626"/>
      <c r="G9" s="626"/>
      <c r="H9" s="626"/>
      <c r="I9" s="626"/>
      <c r="J9" s="627"/>
    </row>
    <row r="10" spans="1:10" x14ac:dyDescent="0.25">
      <c r="A10" s="705"/>
      <c r="B10" s="706"/>
      <c r="C10" s="626"/>
      <c r="D10" s="626"/>
      <c r="E10" s="700" t="s">
        <v>781</v>
      </c>
      <c r="F10" s="700"/>
      <c r="G10" s="700" t="s">
        <v>782</v>
      </c>
      <c r="H10" s="700"/>
      <c r="I10" s="700" t="s">
        <v>783</v>
      </c>
      <c r="J10" s="701"/>
    </row>
    <row r="11" spans="1:10" x14ac:dyDescent="0.25">
      <c r="A11" s="705"/>
      <c r="B11" s="634"/>
      <c r="C11" s="435" t="s">
        <v>500</v>
      </c>
      <c r="D11" s="436" t="s">
        <v>16</v>
      </c>
      <c r="E11" s="435" t="s">
        <v>500</v>
      </c>
      <c r="F11" s="436" t="s">
        <v>16</v>
      </c>
      <c r="G11" s="437" t="s">
        <v>501</v>
      </c>
      <c r="H11" s="438" t="s">
        <v>16</v>
      </c>
      <c r="I11" s="437" t="s">
        <v>501</v>
      </c>
      <c r="J11" s="439" t="s">
        <v>16</v>
      </c>
    </row>
    <row r="12" spans="1:10" x14ac:dyDescent="0.25">
      <c r="A12" s="440" t="str">
        <f>ORÇAMENTO!A11</f>
        <v>1.0</v>
      </c>
      <c r="B12" s="441" t="str">
        <f>ORÇAMENTO!C11</f>
        <v>ADMINISTRAÇÃO DE OBRA</v>
      </c>
      <c r="C12" s="442">
        <f>ORÇAMENTO!H13</f>
        <v>23635.58</v>
      </c>
      <c r="D12" s="443">
        <f t="shared" ref="D12:D21" si="0">(C12/$C$22)</f>
        <v>4.6273871989230192E-2</v>
      </c>
      <c r="E12" s="444">
        <f t="shared" ref="E12:E19" si="1">C12*F12/100</f>
        <v>8272.4530000000013</v>
      </c>
      <c r="F12" s="433">
        <v>35</v>
      </c>
      <c r="G12" s="444">
        <f t="shared" ref="G12:G19" si="2">C12*H12/100</f>
        <v>8272.4530000000013</v>
      </c>
      <c r="H12" s="445">
        <v>35</v>
      </c>
      <c r="I12" s="444">
        <f t="shared" ref="I12:I19" si="3">C12*J12/100</f>
        <v>7090.674</v>
      </c>
      <c r="J12" s="446">
        <v>30</v>
      </c>
    </row>
    <row r="13" spans="1:10" x14ac:dyDescent="0.25">
      <c r="A13" s="440" t="str">
        <f>ORÇAMENTO!A15</f>
        <v>2.0</v>
      </c>
      <c r="B13" s="441" t="str">
        <f>ORÇAMENTO!C15</f>
        <v>SERVIÇOS PRELIMINARES</v>
      </c>
      <c r="C13" s="442">
        <f>ORÇAMENTO!H17</f>
        <v>1907.73</v>
      </c>
      <c r="D13" s="443">
        <f t="shared" si="0"/>
        <v>3.7349645665566114E-3</v>
      </c>
      <c r="E13" s="444">
        <f t="shared" si="1"/>
        <v>1907.73</v>
      </c>
      <c r="F13" s="433">
        <v>100</v>
      </c>
      <c r="G13" s="444">
        <f t="shared" si="2"/>
        <v>0</v>
      </c>
      <c r="H13" s="445">
        <v>0</v>
      </c>
      <c r="I13" s="444">
        <f t="shared" si="3"/>
        <v>0</v>
      </c>
      <c r="J13" s="446">
        <v>0</v>
      </c>
    </row>
    <row r="14" spans="1:10" x14ac:dyDescent="0.25">
      <c r="A14" s="440" t="str">
        <f>ORÇAMENTO!A19</f>
        <v>3.0</v>
      </c>
      <c r="B14" s="441" t="str">
        <f>ORÇAMENTO!C19</f>
        <v>SERVIÇOS DE FUNDAÇÃO POSTE CONCRETO</v>
      </c>
      <c r="C14" s="442">
        <f>ORÇAMENTO!H23</f>
        <v>12525.779999999999</v>
      </c>
      <c r="D14" s="443">
        <f t="shared" si="0"/>
        <v>2.4523042814488142E-2</v>
      </c>
      <c r="E14" s="444">
        <f t="shared" si="1"/>
        <v>6262.89</v>
      </c>
      <c r="F14" s="433">
        <v>50</v>
      </c>
      <c r="G14" s="444">
        <f t="shared" si="2"/>
        <v>3131.4450000000002</v>
      </c>
      <c r="H14" s="445">
        <v>25</v>
      </c>
      <c r="I14" s="444">
        <f t="shared" si="3"/>
        <v>3131.4450000000002</v>
      </c>
      <c r="J14" s="446">
        <v>25</v>
      </c>
    </row>
    <row r="15" spans="1:10" ht="31.5" x14ac:dyDescent="0.25">
      <c r="A15" s="440" t="str">
        <f>ORÇAMENTO!A25</f>
        <v>4.0</v>
      </c>
      <c r="B15" s="441" t="str">
        <f>ORÇAMENTO!C25</f>
        <v>ESTRUTURA CE3-TR-CFU E POSTO DE TRANSFORMAÇÃO DE 45KVA E 225KVA</v>
      </c>
      <c r="C15" s="442">
        <f>ORÇAMENTO!H80</f>
        <v>313998.67</v>
      </c>
      <c r="D15" s="443">
        <f t="shared" si="0"/>
        <v>0.61474836921152487</v>
      </c>
      <c r="E15" s="444">
        <f t="shared" si="1"/>
        <v>94199.600999999995</v>
      </c>
      <c r="F15" s="433">
        <v>30</v>
      </c>
      <c r="G15" s="444">
        <f t="shared" si="2"/>
        <v>109899.53449999999</v>
      </c>
      <c r="H15" s="445">
        <v>35</v>
      </c>
      <c r="I15" s="444">
        <f t="shared" si="3"/>
        <v>109899.53449999999</v>
      </c>
      <c r="J15" s="446">
        <v>35</v>
      </c>
    </row>
    <row r="16" spans="1:10" x14ac:dyDescent="0.25">
      <c r="A16" s="440" t="str">
        <f>ORÇAMENTO!A82</f>
        <v>5.0</v>
      </c>
      <c r="B16" s="441" t="str">
        <f>ORÇAMENTO!C82</f>
        <v>ESTRUTURA CE2</v>
      </c>
      <c r="C16" s="442">
        <f>ORÇAMENTO!H92</f>
        <v>13593.48</v>
      </c>
      <c r="D16" s="443">
        <f t="shared" si="0"/>
        <v>2.6613391903569143E-2</v>
      </c>
      <c r="E16" s="444">
        <f t="shared" si="1"/>
        <v>5437.3919999999998</v>
      </c>
      <c r="F16" s="433">
        <v>40</v>
      </c>
      <c r="G16" s="444">
        <f t="shared" si="2"/>
        <v>4078.0439999999999</v>
      </c>
      <c r="H16" s="445">
        <v>30</v>
      </c>
      <c r="I16" s="444">
        <f t="shared" si="3"/>
        <v>4078.0439999999999</v>
      </c>
      <c r="J16" s="446">
        <v>30</v>
      </c>
    </row>
    <row r="17" spans="1:10" x14ac:dyDescent="0.25">
      <c r="A17" s="440" t="str">
        <f>ORÇAMENTO!A94</f>
        <v>6.0</v>
      </c>
      <c r="B17" s="441" t="str">
        <f>ORÇAMENTO!C94</f>
        <v>ESTRUTURA CEA1</v>
      </c>
      <c r="C17" s="442">
        <f>ORÇAMENTO!H103</f>
        <v>35006.300000000003</v>
      </c>
      <c r="D17" s="443">
        <f t="shared" si="0"/>
        <v>6.8535531813333495E-2</v>
      </c>
      <c r="E17" s="444">
        <f t="shared" si="1"/>
        <v>14002.52</v>
      </c>
      <c r="F17" s="433">
        <v>40</v>
      </c>
      <c r="G17" s="444">
        <f t="shared" si="2"/>
        <v>10501.89</v>
      </c>
      <c r="H17" s="445">
        <v>30</v>
      </c>
      <c r="I17" s="444">
        <f t="shared" si="3"/>
        <v>10501.89</v>
      </c>
      <c r="J17" s="446">
        <v>30</v>
      </c>
    </row>
    <row r="18" spans="1:10" ht="31.5" x14ac:dyDescent="0.25">
      <c r="A18" s="440" t="str">
        <f>ORÇAMENTO!A105</f>
        <v>7.0</v>
      </c>
      <c r="B18" s="441" t="str">
        <f>ORÇAMENTO!C105</f>
        <v>INSTALAÇÃO DERIVAÇÃO COM CHAVE FUSÍVEL E ESTRUTURA CE2-CE3-CFU</v>
      </c>
      <c r="C18" s="442">
        <f>ORÇAMENTO!H128</f>
        <v>9828.93</v>
      </c>
      <c r="D18" s="443">
        <f t="shared" si="0"/>
        <v>1.924313465593416E-2</v>
      </c>
      <c r="E18" s="444">
        <f t="shared" si="1"/>
        <v>9828.93</v>
      </c>
      <c r="F18" s="433">
        <v>100</v>
      </c>
      <c r="G18" s="444">
        <f t="shared" si="2"/>
        <v>0</v>
      </c>
      <c r="H18" s="445">
        <v>0</v>
      </c>
      <c r="I18" s="444">
        <f t="shared" si="3"/>
        <v>0</v>
      </c>
      <c r="J18" s="446">
        <v>0</v>
      </c>
    </row>
    <row r="19" spans="1:10" x14ac:dyDescent="0.25">
      <c r="A19" s="440" t="str">
        <f>ORÇAMENTO!A130</f>
        <v>8.0</v>
      </c>
      <c r="B19" s="441" t="str">
        <f>ORÇAMENTO!C130</f>
        <v>ESTRUTURA CE2-CE3</v>
      </c>
      <c r="C19" s="442">
        <f>ORÇAMENTO!H147</f>
        <v>9041.07</v>
      </c>
      <c r="D19" s="443">
        <f t="shared" si="0"/>
        <v>1.7700657899051741E-2</v>
      </c>
      <c r="E19" s="444">
        <f t="shared" si="1"/>
        <v>4520.5349999999999</v>
      </c>
      <c r="F19" s="433">
        <v>50</v>
      </c>
      <c r="G19" s="444">
        <f t="shared" si="2"/>
        <v>2260.2674999999999</v>
      </c>
      <c r="H19" s="445">
        <v>25</v>
      </c>
      <c r="I19" s="444">
        <f t="shared" si="3"/>
        <v>2260.2674999999999</v>
      </c>
      <c r="J19" s="446">
        <v>25</v>
      </c>
    </row>
    <row r="20" spans="1:10" x14ac:dyDescent="0.25">
      <c r="A20" s="440" t="s">
        <v>296</v>
      </c>
      <c r="B20" s="441" t="str">
        <f>ORÇAMENTO!$C$149</f>
        <v>ESTRUTURA CE3-CE3</v>
      </c>
      <c r="C20" s="442">
        <f>ORÇAMENTO!$H$166</f>
        <v>18080.09</v>
      </c>
      <c r="D20" s="443">
        <f t="shared" si="0"/>
        <v>3.5397302296527558E-2</v>
      </c>
      <c r="E20" s="444">
        <f t="shared" ref="E20:E21" si="4">C20*F20/100</f>
        <v>9040.0450000000001</v>
      </c>
      <c r="F20" s="433">
        <v>50</v>
      </c>
      <c r="G20" s="444">
        <f t="shared" ref="G20:G21" si="5">C20*H20/100</f>
        <v>4520.0225</v>
      </c>
      <c r="H20" s="445">
        <v>25</v>
      </c>
      <c r="I20" s="444">
        <f t="shared" ref="I20:I21" si="6">C20*J20/100</f>
        <v>4520.0225</v>
      </c>
      <c r="J20" s="446">
        <v>25</v>
      </c>
    </row>
    <row r="21" spans="1:10" x14ac:dyDescent="0.25">
      <c r="A21" s="440" t="s">
        <v>314</v>
      </c>
      <c r="B21" s="441" t="str">
        <f>ORÇAMENTO!$C$168</f>
        <v>MEDIÇÃO EM MÉDIA TENSÃO</v>
      </c>
      <c r="C21" s="442">
        <f>ORÇAMENTO!$H$211</f>
        <v>73158.3</v>
      </c>
      <c r="D21" s="443">
        <f t="shared" si="0"/>
        <v>0.14322973284978405</v>
      </c>
      <c r="E21" s="444">
        <f t="shared" si="4"/>
        <v>25605.404999999999</v>
      </c>
      <c r="F21" s="433">
        <v>35</v>
      </c>
      <c r="G21" s="444">
        <f t="shared" si="5"/>
        <v>25605.404999999999</v>
      </c>
      <c r="H21" s="445">
        <v>35</v>
      </c>
      <c r="I21" s="444">
        <f t="shared" si="6"/>
        <v>21947.49</v>
      </c>
      <c r="J21" s="446">
        <v>30</v>
      </c>
    </row>
    <row r="22" spans="1:10" x14ac:dyDescent="0.25">
      <c r="A22" s="696" t="s">
        <v>502</v>
      </c>
      <c r="B22" s="697"/>
      <c r="C22" s="447">
        <f>SUM(C12:C21)</f>
        <v>510775.93</v>
      </c>
      <c r="D22" s="448">
        <f>SUM(D12:D21)</f>
        <v>1</v>
      </c>
      <c r="E22" s="425">
        <f>SUM(E12:E21)</f>
        <v>179077.50100000002</v>
      </c>
      <c r="F22" s="449">
        <f>E22/$C$22</f>
        <v>0.35059894267139802</v>
      </c>
      <c r="G22" s="425">
        <f>SUM(G12:G21)</f>
        <v>168269.06149999998</v>
      </c>
      <c r="H22" s="449">
        <f>G22/$C$22</f>
        <v>0.32943811878527635</v>
      </c>
      <c r="I22" s="425">
        <f>SUM(I12:I21)</f>
        <v>163429.36749999996</v>
      </c>
      <c r="J22" s="450">
        <f>I22/$C$22</f>
        <v>0.31996293854332558</v>
      </c>
    </row>
    <row r="23" spans="1:10" x14ac:dyDescent="0.25">
      <c r="A23" s="696" t="s">
        <v>503</v>
      </c>
      <c r="B23" s="697"/>
      <c r="C23" s="451"/>
      <c r="D23" s="449"/>
      <c r="E23" s="425">
        <f>SUM(E22)</f>
        <v>179077.50100000002</v>
      </c>
      <c r="F23" s="449">
        <f>E23/C22</f>
        <v>0.35059894267139802</v>
      </c>
      <c r="G23" s="425">
        <f>E23+G22</f>
        <v>347346.5625</v>
      </c>
      <c r="H23" s="449">
        <f>F23+H22</f>
        <v>0.68003706145667442</v>
      </c>
      <c r="I23" s="425">
        <f>G23+I22</f>
        <v>510775.92999999993</v>
      </c>
      <c r="J23" s="450">
        <f>H23+J22</f>
        <v>1</v>
      </c>
    </row>
    <row r="24" spans="1:10" ht="20.25" customHeight="1" thickBot="1" x14ac:dyDescent="0.3">
      <c r="A24" s="693" t="str">
        <f>RESUMO!A22</f>
        <v>CUIABÁ - MT, 04 DE NOVEMBRO DE 2022</v>
      </c>
      <c r="B24" s="694"/>
      <c r="C24" s="694"/>
      <c r="D24" s="694"/>
      <c r="E24" s="694"/>
      <c r="F24" s="694"/>
      <c r="G24" s="694"/>
      <c r="H24" s="694"/>
      <c r="I24" s="694"/>
      <c r="J24" s="695"/>
    </row>
  </sheetData>
  <mergeCells count="17">
    <mergeCell ref="B5:H5"/>
    <mergeCell ref="B3:J3"/>
    <mergeCell ref="A24:J24"/>
    <mergeCell ref="A22:B22"/>
    <mergeCell ref="A23:B23"/>
    <mergeCell ref="A1:J1"/>
    <mergeCell ref="I10:J10"/>
    <mergeCell ref="A7:J8"/>
    <mergeCell ref="E9:J9"/>
    <mergeCell ref="A9:A11"/>
    <mergeCell ref="B9:B11"/>
    <mergeCell ref="A6:J6"/>
    <mergeCell ref="C9:D10"/>
    <mergeCell ref="E10:F10"/>
    <mergeCell ref="G10:H10"/>
    <mergeCell ref="B2:J2"/>
    <mergeCell ref="B4:H4"/>
  </mergeCells>
  <printOptions horizontalCentered="1"/>
  <pageMargins left="0.51181102362204722" right="0.51181102362204722" top="0.19685039370078741" bottom="0.78740157480314965" header="0.31496062992125984" footer="0.31496062992125984"/>
  <pageSetup paperSize="9" scale="68" fitToHeight="0" orientation="landscape" r:id="rId1"/>
  <headerFooter>
    <oddFooter>Página &amp;P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4"/>
  <sheetViews>
    <sheetView view="pageBreakPreview" topLeftCell="A193" zoomScale="85" zoomScaleNormal="100" zoomScaleSheetLayoutView="85" workbookViewId="0">
      <selection activeCell="C217" sqref="C217"/>
    </sheetView>
  </sheetViews>
  <sheetFormatPr defaultColWidth="9.140625" defaultRowHeight="15.75" x14ac:dyDescent="0.25"/>
  <cols>
    <col min="1" max="1" width="14.28515625" style="377" bestFit="1" customWidth="1"/>
    <col min="2" max="2" width="10.28515625" style="378" bestFit="1" customWidth="1"/>
    <col min="3" max="3" width="141.7109375" style="376" bestFit="1" customWidth="1"/>
    <col min="4" max="4" width="11.140625" style="376" bestFit="1" customWidth="1"/>
    <col min="5" max="5" width="13.7109375" style="376" bestFit="1" customWidth="1"/>
    <col min="6" max="6" width="18.85546875" style="376" bestFit="1" customWidth="1"/>
    <col min="7" max="7" width="16.7109375" style="376" bestFit="1" customWidth="1"/>
    <col min="8" max="8" width="17" style="376" bestFit="1" customWidth="1"/>
    <col min="9" max="9" width="12.42578125" style="376" hidden="1" customWidth="1"/>
    <col min="10" max="10" width="15.7109375" style="376" bestFit="1" customWidth="1"/>
    <col min="11" max="11" width="10.7109375" style="376" bestFit="1" customWidth="1"/>
    <col min="12" max="12" width="11.28515625" style="376" bestFit="1" customWidth="1"/>
    <col min="13" max="16384" width="9.140625" style="376"/>
  </cols>
  <sheetData>
    <row r="1" spans="1:8" ht="140.25" customHeight="1" x14ac:dyDescent="0.25">
      <c r="A1" s="631" t="s">
        <v>1412</v>
      </c>
      <c r="B1" s="698"/>
      <c r="C1" s="698"/>
      <c r="D1" s="698"/>
      <c r="E1" s="698"/>
      <c r="F1" s="698"/>
      <c r="G1" s="698"/>
      <c r="H1" s="699"/>
    </row>
    <row r="2" spans="1:8" x14ac:dyDescent="0.25">
      <c r="A2" s="505" t="str">
        <f>RESUMO!A2</f>
        <v>OBRA:</v>
      </c>
      <c r="B2" s="723" t="str">
        <f>RESUMO!B2</f>
        <v>EXECUÇÃO DE REDE DE DISTRIBUIÇÃO DE MÉDIA TENSÃO, POSTO DE TRANSFORMAÇÃO DE 225KVA E 45KVA- HOSPITAL VETERINÁRIO CENTRO DE REABILITAÇÃO DE ANIMAIS SILVESTRES - CRAS</v>
      </c>
      <c r="C2" s="723"/>
      <c r="D2" s="723"/>
      <c r="E2" s="723"/>
      <c r="F2" s="723"/>
      <c r="G2" s="725"/>
      <c r="H2" s="726"/>
    </row>
    <row r="3" spans="1:8" x14ac:dyDescent="0.25">
      <c r="A3" s="552" t="str">
        <f>RESUMO!A3</f>
        <v>ENDEREÇO:</v>
      </c>
      <c r="B3" s="717" t="str">
        <f>RESUMO!B3</f>
        <v>RUA DE ACESSO AO INPE (ATRÁS DA ASSOFT), BAIRRO CENTRO POLITICO ADMINISTRATIVO, CUIABÁ-MT</v>
      </c>
      <c r="C3" s="717"/>
      <c r="D3" s="722" t="str">
        <f>RESUMO!C5</f>
        <v>Boletim SINAPI / JULHO 2022                                     (NÃO DESONERADO)</v>
      </c>
      <c r="E3" s="722"/>
      <c r="F3" s="722"/>
      <c r="G3" s="725"/>
      <c r="H3" s="726"/>
    </row>
    <row r="4" spans="1:8" x14ac:dyDescent="0.25">
      <c r="A4" s="505" t="str">
        <f>RESUMO!A4</f>
        <v>MUNICÍPIO:</v>
      </c>
      <c r="B4" s="717" t="str">
        <f>RESUMO!B4</f>
        <v>CUIABÁ - MT</v>
      </c>
      <c r="C4" s="717"/>
      <c r="D4" s="722"/>
      <c r="E4" s="722"/>
      <c r="F4" s="722"/>
      <c r="G4" s="452" t="str">
        <f>RESUMO!C3</f>
        <v>BDI:</v>
      </c>
      <c r="H4" s="547">
        <f>BDI!D30</f>
        <v>0.22226164190779008</v>
      </c>
    </row>
    <row r="5" spans="1:8" x14ac:dyDescent="0.25">
      <c r="A5" s="505" t="str">
        <f>RESUMO!A5</f>
        <v>ASSUNTO:</v>
      </c>
      <c r="B5" s="721" t="str">
        <f>RESUMO!B5</f>
        <v xml:space="preserve">PROJETO ELÉTRICO DE REDE DE DISTRIBUIÇÃO DE MÉDIA TENSÃO, POSTO DE TRANSFORMAÇÃO DE 225KVA E 45KVA </v>
      </c>
      <c r="C5" s="721"/>
      <c r="D5" s="722"/>
      <c r="E5" s="722"/>
      <c r="F5" s="722"/>
      <c r="G5" s="453" t="str">
        <f>RESUMO!C4</f>
        <v>DATA:</v>
      </c>
      <c r="H5" s="548">
        <f>RESUMO!D4</f>
        <v>44869</v>
      </c>
    </row>
    <row r="6" spans="1:8" x14ac:dyDescent="0.25">
      <c r="A6" s="724"/>
      <c r="B6" s="725"/>
      <c r="C6" s="725"/>
      <c r="D6" s="725"/>
      <c r="E6" s="725"/>
      <c r="F6" s="725"/>
      <c r="G6" s="725"/>
      <c r="H6" s="726"/>
    </row>
    <row r="7" spans="1:8" x14ac:dyDescent="0.25">
      <c r="A7" s="718" t="s">
        <v>769</v>
      </c>
      <c r="B7" s="719"/>
      <c r="C7" s="719"/>
      <c r="D7" s="719"/>
      <c r="E7" s="719"/>
      <c r="F7" s="719"/>
      <c r="G7" s="719"/>
      <c r="H7" s="720"/>
    </row>
    <row r="8" spans="1:8" x14ac:dyDescent="0.25">
      <c r="A8" s="727"/>
      <c r="B8" s="728"/>
      <c r="C8" s="728"/>
      <c r="D8" s="728"/>
      <c r="E8" s="728"/>
      <c r="F8" s="728"/>
      <c r="G8" s="728"/>
      <c r="H8" s="729"/>
    </row>
    <row r="9" spans="1:8" ht="42.75" x14ac:dyDescent="0.25">
      <c r="A9" s="553" t="s">
        <v>50</v>
      </c>
      <c r="B9" s="541" t="s">
        <v>770</v>
      </c>
      <c r="C9" s="541" t="s">
        <v>771</v>
      </c>
      <c r="D9" s="541" t="s">
        <v>772</v>
      </c>
      <c r="E9" s="541" t="s">
        <v>773</v>
      </c>
      <c r="F9" s="541" t="s">
        <v>774</v>
      </c>
      <c r="G9" s="541" t="s">
        <v>775</v>
      </c>
      <c r="H9" s="554" t="s">
        <v>776</v>
      </c>
    </row>
    <row r="10" spans="1:8" x14ac:dyDescent="0.25">
      <c r="A10" s="712"/>
      <c r="B10" s="713"/>
      <c r="C10" s="713"/>
      <c r="D10" s="713"/>
      <c r="E10" s="713"/>
      <c r="F10" s="713"/>
      <c r="G10" s="713"/>
      <c r="H10" s="714"/>
    </row>
    <row r="11" spans="1:8" x14ac:dyDescent="0.25">
      <c r="A11" s="555" t="s">
        <v>53</v>
      </c>
      <c r="B11" s="454"/>
      <c r="C11" s="455" t="s">
        <v>777</v>
      </c>
      <c r="D11" s="710"/>
      <c r="E11" s="710"/>
      <c r="F11" s="710"/>
      <c r="G11" s="710"/>
      <c r="H11" s="711"/>
    </row>
    <row r="12" spans="1:8" x14ac:dyDescent="0.25">
      <c r="A12" s="556" t="s">
        <v>94</v>
      </c>
      <c r="B12" s="546" t="str">
        <f>COMPOSIÇÕES!A10</f>
        <v>CPU 79</v>
      </c>
      <c r="C12" s="456" t="str">
        <f>COMPOSIÇÕES!C10</f>
        <v>ADMINISTRAÇÃO DE OBRA</v>
      </c>
      <c r="D12" s="457" t="s">
        <v>62</v>
      </c>
      <c r="E12" s="458">
        <v>1</v>
      </c>
      <c r="F12" s="459">
        <f>COMPOSIÇÕES!G16</f>
        <v>19337.580000000002</v>
      </c>
      <c r="G12" s="459">
        <f>TRUNC((F12*(1+$H$6))*(1+$H$4),2)</f>
        <v>23635.58</v>
      </c>
      <c r="H12" s="514">
        <f>TRUNC(G12*E12,2)</f>
        <v>23635.58</v>
      </c>
    </row>
    <row r="13" spans="1:8" x14ac:dyDescent="0.25">
      <c r="A13" s="715" t="s">
        <v>778</v>
      </c>
      <c r="B13" s="716"/>
      <c r="C13" s="716"/>
      <c r="D13" s="716"/>
      <c r="E13" s="716"/>
      <c r="F13" s="716"/>
      <c r="G13" s="716"/>
      <c r="H13" s="557">
        <f>SUM(H12:H12)</f>
        <v>23635.58</v>
      </c>
    </row>
    <row r="14" spans="1:8" x14ac:dyDescent="0.25">
      <c r="A14" s="712"/>
      <c r="B14" s="713"/>
      <c r="C14" s="713"/>
      <c r="D14" s="713"/>
      <c r="E14" s="713"/>
      <c r="F14" s="713"/>
      <c r="G14" s="713"/>
      <c r="H14" s="714"/>
    </row>
    <row r="15" spans="1:8" x14ac:dyDescent="0.25">
      <c r="A15" s="555" t="s">
        <v>41</v>
      </c>
      <c r="B15" s="454"/>
      <c r="C15" s="455" t="s">
        <v>505</v>
      </c>
      <c r="D15" s="710"/>
      <c r="E15" s="710"/>
      <c r="F15" s="710"/>
      <c r="G15" s="710"/>
      <c r="H15" s="711"/>
    </row>
    <row r="16" spans="1:8" x14ac:dyDescent="0.25">
      <c r="A16" s="556" t="s">
        <v>127</v>
      </c>
      <c r="B16" s="546" t="str">
        <f>COMPOSIÇÕES!A20</f>
        <v>CPU 80</v>
      </c>
      <c r="C16" s="456" t="s">
        <v>779</v>
      </c>
      <c r="D16" s="457" t="s">
        <v>512</v>
      </c>
      <c r="E16" s="458">
        <v>3.13</v>
      </c>
      <c r="F16" s="459">
        <f>COMPOSIÇÕES!G33</f>
        <v>498.67</v>
      </c>
      <c r="G16" s="459">
        <f>TRUNC((F16*(1+$H$6))*(1+$H$4),2)</f>
        <v>609.5</v>
      </c>
      <c r="H16" s="514">
        <f>TRUNC(G16*E16,2)</f>
        <v>1907.73</v>
      </c>
    </row>
    <row r="17" spans="1:10" x14ac:dyDescent="0.25">
      <c r="A17" s="715" t="s">
        <v>778</v>
      </c>
      <c r="B17" s="716"/>
      <c r="C17" s="716"/>
      <c r="D17" s="716"/>
      <c r="E17" s="716"/>
      <c r="F17" s="716"/>
      <c r="G17" s="716"/>
      <c r="H17" s="557">
        <f>SUM(H16:H16)</f>
        <v>1907.73</v>
      </c>
    </row>
    <row r="18" spans="1:10" x14ac:dyDescent="0.25">
      <c r="A18" s="712"/>
      <c r="B18" s="713"/>
      <c r="C18" s="713"/>
      <c r="D18" s="713"/>
      <c r="E18" s="713"/>
      <c r="F18" s="713"/>
      <c r="G18" s="713"/>
      <c r="H18" s="714"/>
    </row>
    <row r="19" spans="1:10" x14ac:dyDescent="0.25">
      <c r="A19" s="555" t="s">
        <v>171</v>
      </c>
      <c r="B19" s="454"/>
      <c r="C19" s="455" t="s">
        <v>1180</v>
      </c>
      <c r="D19" s="710"/>
      <c r="E19" s="710"/>
      <c r="F19" s="710"/>
      <c r="G19" s="710"/>
      <c r="H19" s="711"/>
    </row>
    <row r="20" spans="1:10" x14ac:dyDescent="0.25">
      <c r="A20" s="556" t="s">
        <v>173</v>
      </c>
      <c r="B20" s="542">
        <v>93358</v>
      </c>
      <c r="C20" s="537" t="s">
        <v>1205</v>
      </c>
      <c r="D20" s="457" t="s">
        <v>528</v>
      </c>
      <c r="E20" s="458">
        <v>24</v>
      </c>
      <c r="F20" s="459">
        <v>70.489999999999995</v>
      </c>
      <c r="G20" s="459">
        <f>TRUNC((F20*(1+$H$6))*(1+$H$4),2)</f>
        <v>86.15</v>
      </c>
      <c r="H20" s="514">
        <f>TRUNC(G20*E20,2)</f>
        <v>2067.6</v>
      </c>
    </row>
    <row r="21" spans="1:10" x14ac:dyDescent="0.25">
      <c r="A21" s="556" t="s">
        <v>177</v>
      </c>
      <c r="B21" s="542">
        <v>96995</v>
      </c>
      <c r="C21" s="537" t="s">
        <v>1206</v>
      </c>
      <c r="D21" s="457" t="s">
        <v>528</v>
      </c>
      <c r="E21" s="458">
        <v>6</v>
      </c>
      <c r="F21" s="459">
        <v>42.74</v>
      </c>
      <c r="G21" s="459">
        <f>TRUNC((F21*(1+$H$6))*(1+$H$4),2)</f>
        <v>52.23</v>
      </c>
      <c r="H21" s="514">
        <f>TRUNC(G21*E21,2)</f>
        <v>313.38</v>
      </c>
    </row>
    <row r="22" spans="1:10" ht="30" x14ac:dyDescent="0.25">
      <c r="A22" s="556" t="s">
        <v>181</v>
      </c>
      <c r="B22" s="542">
        <v>94963</v>
      </c>
      <c r="C22" s="537" t="s">
        <v>1213</v>
      </c>
      <c r="D22" s="457" t="s">
        <v>528</v>
      </c>
      <c r="E22" s="458">
        <v>18</v>
      </c>
      <c r="F22" s="460">
        <v>461.12</v>
      </c>
      <c r="G22" s="459">
        <f t="shared" ref="G22" si="0">TRUNC((F22*(1+$H$6))*(1+$H$4),2)</f>
        <v>563.6</v>
      </c>
      <c r="H22" s="514">
        <f t="shared" ref="H22" si="1">TRUNC(G22*E22,2)</f>
        <v>10144.799999999999</v>
      </c>
      <c r="J22" s="379"/>
    </row>
    <row r="23" spans="1:10" x14ac:dyDescent="0.25">
      <c r="A23" s="715" t="s">
        <v>125</v>
      </c>
      <c r="B23" s="716"/>
      <c r="C23" s="716"/>
      <c r="D23" s="716"/>
      <c r="E23" s="716"/>
      <c r="F23" s="716"/>
      <c r="G23" s="716"/>
      <c r="H23" s="558">
        <f>SUM(H20:H22)</f>
        <v>12525.779999999999</v>
      </c>
    </row>
    <row r="24" spans="1:10" x14ac:dyDescent="0.25">
      <c r="A24" s="712"/>
      <c r="B24" s="713"/>
      <c r="C24" s="713"/>
      <c r="D24" s="713"/>
      <c r="E24" s="713"/>
      <c r="F24" s="713"/>
      <c r="G24" s="713"/>
      <c r="H24" s="714"/>
    </row>
    <row r="25" spans="1:10" x14ac:dyDescent="0.25">
      <c r="A25" s="555" t="s">
        <v>199</v>
      </c>
      <c r="B25" s="454"/>
      <c r="C25" s="455" t="s">
        <v>1415</v>
      </c>
      <c r="D25" s="710"/>
      <c r="E25" s="710"/>
      <c r="F25" s="710"/>
      <c r="G25" s="710"/>
      <c r="H25" s="711"/>
    </row>
    <row r="26" spans="1:10" x14ac:dyDescent="0.25">
      <c r="A26" s="556" t="s">
        <v>201</v>
      </c>
      <c r="B26" s="578" t="str">
        <f>COMPOSIÇÕES!A992</f>
        <v>CPU 135</v>
      </c>
      <c r="C26" s="579" t="str">
        <f>COMPOSIÇÕES!C992</f>
        <v>CABO ALUMÍNIO ISOLADO XLPE 15KV  - 50 MM - REDE COMPACTA</v>
      </c>
      <c r="D26" s="578" t="s">
        <v>275</v>
      </c>
      <c r="E26" s="458">
        <v>2958.45</v>
      </c>
      <c r="F26" s="543">
        <f>COMPOSIÇÕES!G1002</f>
        <v>26.61</v>
      </c>
      <c r="G26" s="459">
        <f t="shared" ref="G26:G43" si="2">TRUNC((F26*(1+$H$6))*(1+$H$4),2)</f>
        <v>32.520000000000003</v>
      </c>
      <c r="H26" s="514">
        <f t="shared" ref="H26:H43" si="3">TRUNC(G26*E26,2)</f>
        <v>96208.79</v>
      </c>
    </row>
    <row r="27" spans="1:10" x14ac:dyDescent="0.25">
      <c r="A27" s="559" t="s">
        <v>205</v>
      </c>
      <c r="B27" s="478" t="str">
        <f>COMPOSIÇÕES!A1233</f>
        <v>CPU 148</v>
      </c>
      <c r="C27" s="479" t="str">
        <f>COMPOSIÇÕES!C1233</f>
        <v>FORNECIMENTO E INSTALAÇÃO POSTE CIRCULAR 11/1000</v>
      </c>
      <c r="D27" s="478" t="s">
        <v>62</v>
      </c>
      <c r="E27" s="480">
        <v>1</v>
      </c>
      <c r="F27" s="481">
        <f>COMPOSIÇÕES!G1249</f>
        <v>5667.82</v>
      </c>
      <c r="G27" s="475">
        <f t="shared" si="2"/>
        <v>6927.55</v>
      </c>
      <c r="H27" s="560">
        <f t="shared" si="3"/>
        <v>6927.55</v>
      </c>
    </row>
    <row r="28" spans="1:10" x14ac:dyDescent="0.25">
      <c r="A28" s="559" t="s">
        <v>209</v>
      </c>
      <c r="B28" s="478" t="str">
        <f>COMPOSIÇÕES!A1043</f>
        <v>CPU 138</v>
      </c>
      <c r="C28" s="479" t="str">
        <f>COMPOSIÇÕES!C1043</f>
        <v>FORNECIMENTO E INSTALAÇÃO POSTE CIRCULAR 11/600</v>
      </c>
      <c r="D28" s="478" t="s">
        <v>62</v>
      </c>
      <c r="E28" s="480">
        <v>1</v>
      </c>
      <c r="F28" s="481">
        <f>COMPOSIÇÕES!G1059</f>
        <v>3927.83</v>
      </c>
      <c r="G28" s="475">
        <f t="shared" ref="G28" si="4">TRUNC((F28*(1+$H$6))*(1+$H$4),2)</f>
        <v>4800.83</v>
      </c>
      <c r="H28" s="560">
        <f t="shared" ref="H28" si="5">TRUNC(G28*E28,2)</f>
        <v>4800.83</v>
      </c>
    </row>
    <row r="29" spans="1:10" x14ac:dyDescent="0.25">
      <c r="A29" s="559" t="s">
        <v>213</v>
      </c>
      <c r="B29" s="478" t="str">
        <f>COMPOSIÇÕES!A253</f>
        <v>CPU 95</v>
      </c>
      <c r="C29" s="479" t="str">
        <f>COMPOSIÇÕES!C253</f>
        <v>FITA ACO INOX PARA CINTAR POSTE, L = 19 MM, E = 0,5 MM (ROLO DE 30M)</v>
      </c>
      <c r="D29" s="478" t="s">
        <v>275</v>
      </c>
      <c r="E29" s="480">
        <v>20</v>
      </c>
      <c r="F29" s="481">
        <f>COMPOSIÇÕES!G263</f>
        <v>113.09</v>
      </c>
      <c r="G29" s="475">
        <f t="shared" si="2"/>
        <v>138.22</v>
      </c>
      <c r="H29" s="560">
        <f t="shared" si="3"/>
        <v>2764.4</v>
      </c>
    </row>
    <row r="30" spans="1:10" x14ac:dyDescent="0.25">
      <c r="A30" s="559" t="s">
        <v>217</v>
      </c>
      <c r="B30" s="478" t="str">
        <f>COMPOSIÇÕES!A508</f>
        <v>CPU 108</v>
      </c>
      <c r="C30" s="479" t="str">
        <f>COMPOSIÇÕES!C508</f>
        <v>ELETRODUTO DE AÇO GALVANIZADO - FOGO - 80 MM² (3")</v>
      </c>
      <c r="D30" s="478" t="s">
        <v>275</v>
      </c>
      <c r="E30" s="480">
        <v>20</v>
      </c>
      <c r="F30" s="481">
        <f>COMPOSIÇÕES!G525</f>
        <v>375.19</v>
      </c>
      <c r="G30" s="475">
        <f t="shared" si="2"/>
        <v>458.58</v>
      </c>
      <c r="H30" s="560">
        <f t="shared" si="3"/>
        <v>9171.6</v>
      </c>
    </row>
    <row r="31" spans="1:10" ht="30" x14ac:dyDescent="0.25">
      <c r="A31" s="559" t="s">
        <v>222</v>
      </c>
      <c r="B31" s="478">
        <v>92990</v>
      </c>
      <c r="C31" s="479" t="s">
        <v>1390</v>
      </c>
      <c r="D31" s="478" t="s">
        <v>275</v>
      </c>
      <c r="E31" s="480">
        <v>100</v>
      </c>
      <c r="F31" s="481">
        <v>68.19</v>
      </c>
      <c r="G31" s="475">
        <f t="shared" si="2"/>
        <v>83.34</v>
      </c>
      <c r="H31" s="560">
        <f t="shared" si="3"/>
        <v>8334</v>
      </c>
    </row>
    <row r="32" spans="1:10" ht="30" x14ac:dyDescent="0.25">
      <c r="A32" s="559" t="s">
        <v>709</v>
      </c>
      <c r="B32" s="478">
        <v>92998</v>
      </c>
      <c r="C32" s="479" t="s">
        <v>1416</v>
      </c>
      <c r="D32" s="478" t="s">
        <v>275</v>
      </c>
      <c r="E32" s="480">
        <v>150</v>
      </c>
      <c r="F32" s="481">
        <v>176.43</v>
      </c>
      <c r="G32" s="475">
        <f t="shared" si="2"/>
        <v>215.64</v>
      </c>
      <c r="H32" s="560">
        <f t="shared" ref="H32" si="6">TRUNC(G32*E32,2)</f>
        <v>32346</v>
      </c>
    </row>
    <row r="33" spans="1:8" ht="30" x14ac:dyDescent="0.25">
      <c r="A33" s="559" t="s">
        <v>1299</v>
      </c>
      <c r="B33" s="478">
        <v>92992</v>
      </c>
      <c r="C33" s="479" t="s">
        <v>1417</v>
      </c>
      <c r="D33" s="478" t="s">
        <v>275</v>
      </c>
      <c r="E33" s="480">
        <v>50</v>
      </c>
      <c r="F33" s="481">
        <v>90.1</v>
      </c>
      <c r="G33" s="475">
        <f t="shared" si="2"/>
        <v>110.12</v>
      </c>
      <c r="H33" s="560">
        <f t="shared" ref="H33" si="7">TRUNC(G33*E33,2)</f>
        <v>5506</v>
      </c>
    </row>
    <row r="34" spans="1:8" ht="30" x14ac:dyDescent="0.25">
      <c r="A34" s="559" t="s">
        <v>1300</v>
      </c>
      <c r="B34" s="478">
        <v>92986</v>
      </c>
      <c r="C34" s="479" t="s">
        <v>1391</v>
      </c>
      <c r="D34" s="478" t="s">
        <v>275</v>
      </c>
      <c r="E34" s="480">
        <v>50</v>
      </c>
      <c r="F34" s="481">
        <v>35.32</v>
      </c>
      <c r="G34" s="475">
        <f t="shared" si="2"/>
        <v>43.17</v>
      </c>
      <c r="H34" s="560">
        <f t="shared" si="3"/>
        <v>2158.5</v>
      </c>
    </row>
    <row r="35" spans="1:8" x14ac:dyDescent="0.25">
      <c r="A35" s="559" t="s">
        <v>1301</v>
      </c>
      <c r="B35" s="478">
        <v>101895</v>
      </c>
      <c r="C35" s="479" t="s">
        <v>1392</v>
      </c>
      <c r="D35" s="478" t="s">
        <v>62</v>
      </c>
      <c r="E35" s="480">
        <v>1</v>
      </c>
      <c r="F35" s="481">
        <v>454.88</v>
      </c>
      <c r="G35" s="475">
        <f t="shared" si="2"/>
        <v>555.98</v>
      </c>
      <c r="H35" s="560">
        <f t="shared" si="3"/>
        <v>555.98</v>
      </c>
    </row>
    <row r="36" spans="1:8" x14ac:dyDescent="0.25">
      <c r="A36" s="559" t="s">
        <v>1302</v>
      </c>
      <c r="B36" s="478">
        <v>101899</v>
      </c>
      <c r="C36" s="479" t="s">
        <v>1418</v>
      </c>
      <c r="D36" s="478" t="s">
        <v>62</v>
      </c>
      <c r="E36" s="480">
        <v>1</v>
      </c>
      <c r="F36" s="481">
        <v>2405.0700000000002</v>
      </c>
      <c r="G36" s="475">
        <f t="shared" si="2"/>
        <v>2939.62</v>
      </c>
      <c r="H36" s="560">
        <f t="shared" si="3"/>
        <v>2939.62</v>
      </c>
    </row>
    <row r="37" spans="1:8" x14ac:dyDescent="0.25">
      <c r="A37" s="559" t="s">
        <v>1303</v>
      </c>
      <c r="B37" s="478" t="str">
        <f>COMPOSIÇÕES!A472</f>
        <v>CPU 106</v>
      </c>
      <c r="C37" s="479" t="str">
        <f>COMPOSIÇÕES!C472</f>
        <v>ISOLADOR DE PORCELANA, TIPO PINO MONOCORPO, PARA TENSAO DE *15* KV</v>
      </c>
      <c r="D37" s="478" t="s">
        <v>62</v>
      </c>
      <c r="E37" s="480">
        <v>6</v>
      </c>
      <c r="F37" s="481">
        <f>COMPOSIÇÕES!G482</f>
        <v>36.36</v>
      </c>
      <c r="G37" s="475">
        <f t="shared" si="2"/>
        <v>44.44</v>
      </c>
      <c r="H37" s="560">
        <f t="shared" si="3"/>
        <v>266.64</v>
      </c>
    </row>
    <row r="38" spans="1:8" ht="30" x14ac:dyDescent="0.25">
      <c r="A38" s="559" t="s">
        <v>1304</v>
      </c>
      <c r="B38" s="478">
        <v>87894</v>
      </c>
      <c r="C38" s="479" t="s">
        <v>1394</v>
      </c>
      <c r="D38" s="478" t="s">
        <v>512</v>
      </c>
      <c r="E38" s="480">
        <v>1.4</v>
      </c>
      <c r="F38" s="481">
        <v>6.23</v>
      </c>
      <c r="G38" s="475">
        <f t="shared" si="2"/>
        <v>7.61</v>
      </c>
      <c r="H38" s="560">
        <f t="shared" si="3"/>
        <v>10.65</v>
      </c>
    </row>
    <row r="39" spans="1:8" ht="30" x14ac:dyDescent="0.25">
      <c r="A39" s="559" t="s">
        <v>1305</v>
      </c>
      <c r="B39" s="478">
        <v>101159</v>
      </c>
      <c r="C39" s="479" t="s">
        <v>1395</v>
      </c>
      <c r="D39" s="478" t="s">
        <v>512</v>
      </c>
      <c r="E39" s="480">
        <v>6.82</v>
      </c>
      <c r="F39" s="481">
        <v>147.22</v>
      </c>
      <c r="G39" s="475">
        <f t="shared" si="2"/>
        <v>179.94</v>
      </c>
      <c r="H39" s="560">
        <f t="shared" si="3"/>
        <v>1227.19</v>
      </c>
    </row>
    <row r="40" spans="1:8" ht="30" x14ac:dyDescent="0.25">
      <c r="A40" s="559" t="s">
        <v>1306</v>
      </c>
      <c r="B40" s="478">
        <v>87792</v>
      </c>
      <c r="C40" s="479" t="s">
        <v>1396</v>
      </c>
      <c r="D40" s="478" t="s">
        <v>512</v>
      </c>
      <c r="E40" s="480">
        <v>6.82</v>
      </c>
      <c r="F40" s="481">
        <v>36.869999999999997</v>
      </c>
      <c r="G40" s="475">
        <f t="shared" si="2"/>
        <v>45.06</v>
      </c>
      <c r="H40" s="560">
        <f t="shared" si="3"/>
        <v>307.3</v>
      </c>
    </row>
    <row r="41" spans="1:8" x14ac:dyDescent="0.25">
      <c r="A41" s="559" t="s">
        <v>1307</v>
      </c>
      <c r="B41" s="478">
        <v>88485</v>
      </c>
      <c r="C41" s="479" t="s">
        <v>1397</v>
      </c>
      <c r="D41" s="478" t="s">
        <v>512</v>
      </c>
      <c r="E41" s="480">
        <v>6.82</v>
      </c>
      <c r="F41" s="481">
        <v>1.99</v>
      </c>
      <c r="G41" s="475">
        <f t="shared" si="2"/>
        <v>2.4300000000000002</v>
      </c>
      <c r="H41" s="560">
        <f t="shared" si="3"/>
        <v>16.57</v>
      </c>
    </row>
    <row r="42" spans="1:8" x14ac:dyDescent="0.25">
      <c r="A42" s="559" t="s">
        <v>1308</v>
      </c>
      <c r="B42" s="478">
        <v>88489</v>
      </c>
      <c r="C42" s="479" t="s">
        <v>1398</v>
      </c>
      <c r="D42" s="478" t="s">
        <v>512</v>
      </c>
      <c r="E42" s="480">
        <v>6.2</v>
      </c>
      <c r="F42" s="481">
        <v>14.28</v>
      </c>
      <c r="G42" s="475">
        <f t="shared" si="2"/>
        <v>17.45</v>
      </c>
      <c r="H42" s="560">
        <f t="shared" si="3"/>
        <v>108.19</v>
      </c>
    </row>
    <row r="43" spans="1:8" x14ac:dyDescent="0.25">
      <c r="A43" s="559" t="s">
        <v>1309</v>
      </c>
      <c r="B43" s="478" t="str">
        <f>COMPOSIÇÕES!A37</f>
        <v>CPU 81</v>
      </c>
      <c r="C43" s="479" t="str">
        <f>COMPOSIÇÕES!C37</f>
        <v>SAPATILHA EM ACO GALVANIZADO PARA CABOS COM DIAMETRO NOMINAL ATE 5/8"</v>
      </c>
      <c r="D43" s="478" t="s">
        <v>62</v>
      </c>
      <c r="E43" s="480">
        <v>4</v>
      </c>
      <c r="F43" s="481">
        <f>COMPOSIÇÕES!G47</f>
        <v>11.26</v>
      </c>
      <c r="G43" s="475">
        <f t="shared" si="2"/>
        <v>13.76</v>
      </c>
      <c r="H43" s="560">
        <f t="shared" si="3"/>
        <v>55.04</v>
      </c>
    </row>
    <row r="44" spans="1:8" x14ac:dyDescent="0.25">
      <c r="A44" s="559" t="s">
        <v>1310</v>
      </c>
      <c r="B44" s="478" t="str">
        <f>COMPOSIÇÕES!A1013</f>
        <v>CPU 136</v>
      </c>
      <c r="C44" s="479" t="str">
        <f>COMPOSIÇÕES!C1013</f>
        <v>CINTA PARA POSTE CIRCULAR 210 MM</v>
      </c>
      <c r="D44" s="478" t="s">
        <v>62</v>
      </c>
      <c r="E44" s="480">
        <v>10</v>
      </c>
      <c r="F44" s="481">
        <f>COMPOSIÇÕES!G1023</f>
        <v>47.44</v>
      </c>
      <c r="G44" s="475">
        <f t="shared" ref="G44:G79" si="8">TRUNC((F44*(1+$H$6))*(1+$H$4),2)</f>
        <v>57.98</v>
      </c>
      <c r="H44" s="560">
        <f t="shared" ref="H44:H52" si="9">TRUNC(G44*E44,2)</f>
        <v>579.79999999999995</v>
      </c>
    </row>
    <row r="45" spans="1:8" x14ac:dyDescent="0.25">
      <c r="A45" s="559" t="s">
        <v>1311</v>
      </c>
      <c r="B45" s="478" t="str">
        <f>COMPOSIÇÕES!A698</f>
        <v>CPU 119</v>
      </c>
      <c r="C45" s="479" t="str">
        <f>COMPOSIÇÕES!C698</f>
        <v>CORDOALHA DE AÇO ZINCADO 9,5 MM - MENSAGEIRO REDE MT</v>
      </c>
      <c r="D45" s="478" t="s">
        <v>275</v>
      </c>
      <c r="E45" s="480">
        <v>986.15</v>
      </c>
      <c r="F45" s="481">
        <f>COMPOSIÇÕES!G708</f>
        <v>23.75</v>
      </c>
      <c r="G45" s="475">
        <f t="shared" ref="G45" si="10">TRUNC((F45*(1+$H$6))*(1+$H$4),2)</f>
        <v>29.02</v>
      </c>
      <c r="H45" s="560">
        <f t="shared" ref="H45" si="11">TRUNC(G45*E45,2)</f>
        <v>28618.07</v>
      </c>
    </row>
    <row r="46" spans="1:8" x14ac:dyDescent="0.25">
      <c r="A46" s="559" t="s">
        <v>1312</v>
      </c>
      <c r="B46" s="478" t="str">
        <f>COMPOSIÇÕES!A194</f>
        <v>CPU 91</v>
      </c>
      <c r="C46" s="461" t="str">
        <f>COMPOSIÇÕES!C194</f>
        <v>GANCHO OLHAL EM ACO GALVANIZADO, ESPESSURA 16MM, ABERTURA 21MM</v>
      </c>
      <c r="D46" s="542" t="s">
        <v>62</v>
      </c>
      <c r="E46" s="458">
        <v>6</v>
      </c>
      <c r="F46" s="481">
        <f>COMPOSIÇÕES!G204</f>
        <v>25.740000000000002</v>
      </c>
      <c r="G46" s="475">
        <f t="shared" si="8"/>
        <v>31.46</v>
      </c>
      <c r="H46" s="560">
        <f t="shared" si="9"/>
        <v>188.76</v>
      </c>
    </row>
    <row r="47" spans="1:8" x14ac:dyDescent="0.25">
      <c r="A47" s="559" t="s">
        <v>1313</v>
      </c>
      <c r="B47" s="478" t="str">
        <f>COMPOSIÇÕES!A409</f>
        <v>CPU 103</v>
      </c>
      <c r="C47" s="461" t="str">
        <f>COMPOSIÇÕES!C409</f>
        <v>MANILHA SAPATILHA</v>
      </c>
      <c r="D47" s="542" t="s">
        <v>62</v>
      </c>
      <c r="E47" s="458">
        <v>6</v>
      </c>
      <c r="F47" s="481">
        <f>COMPOSIÇÕES!D425</f>
        <v>21.63</v>
      </c>
      <c r="G47" s="475">
        <f t="shared" si="8"/>
        <v>26.43</v>
      </c>
      <c r="H47" s="560">
        <f t="shared" si="9"/>
        <v>158.58000000000001</v>
      </c>
    </row>
    <row r="48" spans="1:8" x14ac:dyDescent="0.25">
      <c r="A48" s="559" t="s">
        <v>1314</v>
      </c>
      <c r="B48" s="478" t="str">
        <f>COMPOSIÇÕES!A845</f>
        <v>CPU 126</v>
      </c>
      <c r="C48" s="461" t="str">
        <f>COMPOSIÇÕES!C845</f>
        <v>OLHAL PARA PARAFUSO</v>
      </c>
      <c r="D48" s="542" t="s">
        <v>62</v>
      </c>
      <c r="E48" s="458">
        <v>8</v>
      </c>
      <c r="F48" s="481">
        <f>COMPOSIÇÕES!G855</f>
        <v>42.29</v>
      </c>
      <c r="G48" s="475">
        <f t="shared" si="8"/>
        <v>51.68</v>
      </c>
      <c r="H48" s="560">
        <f t="shared" si="9"/>
        <v>413.44</v>
      </c>
    </row>
    <row r="49" spans="1:8" x14ac:dyDescent="0.25">
      <c r="A49" s="559" t="s">
        <v>1315</v>
      </c>
      <c r="B49" s="478" t="str">
        <f>COMPOSIÇÕES!A764</f>
        <v>CPU 122</v>
      </c>
      <c r="C49" s="461" t="str">
        <f>COMPOSIÇÕES!C764</f>
        <v>SUPORTE L - EST. CLEA1</v>
      </c>
      <c r="D49" s="542" t="s">
        <v>62</v>
      </c>
      <c r="E49" s="458">
        <v>6</v>
      </c>
      <c r="F49" s="481">
        <f>COMPOSIÇÕES!G774</f>
        <v>157.16999999999999</v>
      </c>
      <c r="G49" s="475">
        <f t="shared" ref="G49" si="12">TRUNC((F49*(1+$H$6))*(1+$H$4),2)</f>
        <v>192.1</v>
      </c>
      <c r="H49" s="560">
        <f t="shared" ref="H49" si="13">TRUNC(G49*E49,2)</f>
        <v>1152.5999999999999</v>
      </c>
    </row>
    <row r="50" spans="1:8" x14ac:dyDescent="0.25">
      <c r="A50" s="559" t="s">
        <v>1316</v>
      </c>
      <c r="B50" s="478" t="str">
        <f>COMPOSIÇÕES!A67</f>
        <v>CPU 83</v>
      </c>
      <c r="C50" s="535" t="str">
        <f>COMPOSIÇÕES!C67</f>
        <v>PARAFUSO M16 EM ACO GALVANIZADO, COMPRIMENTO = 200 MM, DIAMETRO = 16 MM, ROSCA MAQUINA, CABECA QUADRADA</v>
      </c>
      <c r="D50" s="542" t="s">
        <v>62</v>
      </c>
      <c r="E50" s="458">
        <v>22</v>
      </c>
      <c r="F50" s="481">
        <f>COMPOSIÇÕES!G77</f>
        <v>14.61</v>
      </c>
      <c r="G50" s="475">
        <f t="shared" si="8"/>
        <v>17.850000000000001</v>
      </c>
      <c r="H50" s="560">
        <f t="shared" si="9"/>
        <v>392.7</v>
      </c>
    </row>
    <row r="51" spans="1:8" x14ac:dyDescent="0.25">
      <c r="A51" s="559" t="s">
        <v>1317</v>
      </c>
      <c r="B51" s="478" t="str">
        <f>COMPOSIÇÕES!A661</f>
        <v>CPU 117</v>
      </c>
      <c r="C51" s="461" t="str">
        <f>COMPOSIÇÕES!C661</f>
        <v>PARAFUSO FRANCES M16 EM ACO GALVANIZADO, COMPRIMENTO = 45 MM, DIAMETRO = 16MM, CABECA ABAULADA</v>
      </c>
      <c r="D51" s="542" t="s">
        <v>62</v>
      </c>
      <c r="E51" s="458">
        <v>22</v>
      </c>
      <c r="F51" s="481">
        <f>COMPOSIÇÕES!G671</f>
        <v>8.9600000000000009</v>
      </c>
      <c r="G51" s="475">
        <f t="shared" si="8"/>
        <v>10.95</v>
      </c>
      <c r="H51" s="560">
        <f t="shared" si="9"/>
        <v>240.9</v>
      </c>
    </row>
    <row r="52" spans="1:8" x14ac:dyDescent="0.25">
      <c r="A52" s="559" t="s">
        <v>1318</v>
      </c>
      <c r="B52" s="478" t="str">
        <f>COMPOSIÇÕES!A112</f>
        <v>CPU 86</v>
      </c>
      <c r="C52" s="461" t="str">
        <f>COMPOSIÇÕES!C112</f>
        <v>PORCA OLHAL EM ACO GALVANIZADO, ESPESSURA 16MM, ABERTURA 21MM</v>
      </c>
      <c r="D52" s="542" t="s">
        <v>62</v>
      </c>
      <c r="E52" s="458">
        <v>8</v>
      </c>
      <c r="F52" s="481">
        <f>COMPOSIÇÕES!G122</f>
        <v>20.7</v>
      </c>
      <c r="G52" s="475">
        <f t="shared" si="8"/>
        <v>25.3</v>
      </c>
      <c r="H52" s="560">
        <f t="shared" si="9"/>
        <v>202.4</v>
      </c>
    </row>
    <row r="53" spans="1:8" x14ac:dyDescent="0.25">
      <c r="A53" s="559" t="s">
        <v>1319</v>
      </c>
      <c r="B53" s="478" t="str">
        <f>COMPOSIÇÕES!A430</f>
        <v>CPU 104</v>
      </c>
      <c r="C53" s="461" t="str">
        <f>COMPOSIÇÕES!C430</f>
        <v>ISOLADOR BASTÃO SUSPENSÃO POLIMÉRICO 15 KV</v>
      </c>
      <c r="D53" s="542" t="s">
        <v>62</v>
      </c>
      <c r="E53" s="458">
        <v>6</v>
      </c>
      <c r="F53" s="481">
        <f>COMPOSIÇÕES!D446</f>
        <v>54.43</v>
      </c>
      <c r="G53" s="475">
        <f t="shared" si="8"/>
        <v>66.52</v>
      </c>
      <c r="H53" s="560">
        <f t="shared" ref="H53:H55" si="14">TRUNC(G53*E53,2)</f>
        <v>399.12</v>
      </c>
    </row>
    <row r="54" spans="1:8" x14ac:dyDescent="0.25">
      <c r="A54" s="559" t="s">
        <v>1320</v>
      </c>
      <c r="B54" s="478" t="str">
        <f>COMPOSIÇÕES!A283</f>
        <v>CPU 97</v>
      </c>
      <c r="C54" s="461" t="str">
        <f>COMPOSIÇÕES!C283</f>
        <v>ALÇA PREFORMADA ESTAI 2"</v>
      </c>
      <c r="D54" s="542" t="s">
        <v>62</v>
      </c>
      <c r="E54" s="458">
        <v>2</v>
      </c>
      <c r="F54" s="481">
        <f>COMPOSIÇÕES!G293</f>
        <v>13.17</v>
      </c>
      <c r="G54" s="475">
        <f t="shared" si="8"/>
        <v>16.09</v>
      </c>
      <c r="H54" s="560">
        <f t="shared" si="14"/>
        <v>32.18</v>
      </c>
    </row>
    <row r="55" spans="1:8" x14ac:dyDescent="0.25">
      <c r="A55" s="559" t="s">
        <v>1321</v>
      </c>
      <c r="B55" s="478" t="str">
        <f>COMPOSIÇÕES!A346</f>
        <v>CPU 100</v>
      </c>
      <c r="C55" s="461" t="str">
        <f>COMPOSIÇÕES!C346</f>
        <v>CONECTOR CUNHA ESTRIBO COM CAPA - 50 MM</v>
      </c>
      <c r="D55" s="542" t="s">
        <v>62</v>
      </c>
      <c r="E55" s="458">
        <v>6</v>
      </c>
      <c r="F55" s="481">
        <f>COMPOSIÇÕES!G356</f>
        <v>54.879999999999995</v>
      </c>
      <c r="G55" s="475">
        <f t="shared" si="8"/>
        <v>67.069999999999993</v>
      </c>
      <c r="H55" s="560">
        <f t="shared" si="14"/>
        <v>402.42</v>
      </c>
    </row>
    <row r="56" spans="1:8" ht="30" x14ac:dyDescent="0.25">
      <c r="A56" s="559" t="s">
        <v>1322</v>
      </c>
      <c r="B56" s="478" t="str">
        <f>COMPOSIÇÕES!A164</f>
        <v>CPU 89</v>
      </c>
      <c r="C56" s="461" t="str">
        <f>COMPOSIÇÕES!C164</f>
        <v>GRAMPO LINHA VIVA DE LATAO ESTANHADO, DIAMETRO DO CONDUTOR PRINCIPAL DE 10 A 120 MM2, DIAMETRO DA DERIVACAO DE 10 A 70 MM2</v>
      </c>
      <c r="D56" s="542" t="s">
        <v>62</v>
      </c>
      <c r="E56" s="458">
        <v>6</v>
      </c>
      <c r="F56" s="481">
        <f>COMPOSIÇÕES!G174</f>
        <v>87.16</v>
      </c>
      <c r="G56" s="475">
        <f t="shared" si="8"/>
        <v>106.53</v>
      </c>
      <c r="H56" s="560">
        <f t="shared" ref="H56:H62" si="15">TRUNC(G56*E56,2)</f>
        <v>639.17999999999995</v>
      </c>
    </row>
    <row r="57" spans="1:8" ht="30" x14ac:dyDescent="0.25">
      <c r="A57" s="559" t="s">
        <v>1323</v>
      </c>
      <c r="B57" s="478" t="str">
        <f>COMPOSIÇÕES!A127</f>
        <v>CPU 87</v>
      </c>
      <c r="C57" s="461" t="str">
        <f>COMPOSIÇÕES!C127</f>
        <v>CHAVE FUSIVEL PARA REDES DE DISTRIBUICAO, TENSAO DE 15,0 KV, CORRENTE NOMINAL DO PORTA FUSIVEL DE 100 A, CAPACIDADE DE INTERRUPCAO SIMETRICA DE 7,10 KA, CAPACIDADE DE INTERRUPCAO ASSIMETRICA 10,00 KA</v>
      </c>
      <c r="D57" s="542" t="s">
        <v>62</v>
      </c>
      <c r="E57" s="458">
        <v>6</v>
      </c>
      <c r="F57" s="481">
        <f>COMPOSIÇÕES!G137</f>
        <v>556.54</v>
      </c>
      <c r="G57" s="475">
        <f t="shared" si="8"/>
        <v>680.23</v>
      </c>
      <c r="H57" s="560">
        <f t="shared" si="15"/>
        <v>4081.38</v>
      </c>
    </row>
    <row r="58" spans="1:8" x14ac:dyDescent="0.25">
      <c r="A58" s="559" t="s">
        <v>1324</v>
      </c>
      <c r="B58" s="478" t="str">
        <f>COMPOSIÇÕES!A304</f>
        <v>CPU 98</v>
      </c>
      <c r="C58" s="461" t="str">
        <f>COMPOSIÇÕES!C304</f>
        <v>ELO FUSIVEL 3H</v>
      </c>
      <c r="D58" s="542" t="s">
        <v>62</v>
      </c>
      <c r="E58" s="458">
        <v>3</v>
      </c>
      <c r="F58" s="481">
        <f>COMPOSIÇÕES!G314</f>
        <v>9.83</v>
      </c>
      <c r="G58" s="475">
        <f t="shared" si="8"/>
        <v>12.01</v>
      </c>
      <c r="H58" s="560">
        <f t="shared" si="15"/>
        <v>36.03</v>
      </c>
    </row>
    <row r="59" spans="1:8" x14ac:dyDescent="0.25">
      <c r="A59" s="559" t="s">
        <v>1325</v>
      </c>
      <c r="B59" s="478" t="str">
        <f>COMPOSIÇÕES!A1100</f>
        <v>CPU 141</v>
      </c>
      <c r="C59" s="461" t="str">
        <f>COMPOSIÇÕES!C1100</f>
        <v>ELO FUSIVEL 10K</v>
      </c>
      <c r="D59" s="542" t="s">
        <v>62</v>
      </c>
      <c r="E59" s="458">
        <v>3</v>
      </c>
      <c r="F59" s="481">
        <f>COMPOSIÇÕES!G1110</f>
        <v>9.98</v>
      </c>
      <c r="G59" s="475">
        <f t="shared" ref="G59" si="16">TRUNC((F59*(1+$H$6))*(1+$H$4),2)</f>
        <v>12.19</v>
      </c>
      <c r="H59" s="560">
        <f t="shared" ref="H59" si="17">TRUNC(G59*E59,2)</f>
        <v>36.57</v>
      </c>
    </row>
    <row r="60" spans="1:8" x14ac:dyDescent="0.25">
      <c r="A60" s="559" t="s">
        <v>1326</v>
      </c>
      <c r="B60" s="478" t="str">
        <f>COMPOSIÇÕES!A149</f>
        <v>CPU 88</v>
      </c>
      <c r="C60" s="461" t="str">
        <f>COMPOSIÇÕES!C149</f>
        <v>CRUZETA DE CONCRETO LEVE, COMP. 2000 MM SECAO, 90 X 90 MM</v>
      </c>
      <c r="D60" s="542" t="s">
        <v>62</v>
      </c>
      <c r="E60" s="458">
        <v>2</v>
      </c>
      <c r="F60" s="481">
        <f>COMPOSIÇÕES!G159</f>
        <v>139.04</v>
      </c>
      <c r="G60" s="475">
        <f t="shared" si="8"/>
        <v>169.94</v>
      </c>
      <c r="H60" s="560">
        <f t="shared" si="15"/>
        <v>339.88</v>
      </c>
    </row>
    <row r="61" spans="1:8" x14ac:dyDescent="0.25">
      <c r="A61" s="559" t="s">
        <v>1327</v>
      </c>
      <c r="B61" s="478" t="str">
        <f>COMPOSIÇÕES!A823</f>
        <v>CPU 125</v>
      </c>
      <c r="C61" s="461" t="str">
        <f>COMPOSIÇÕES!C823</f>
        <v>ISOLADOR PINO POLIMÉRICO 15KV</v>
      </c>
      <c r="D61" s="542" t="s">
        <v>62</v>
      </c>
      <c r="E61" s="458">
        <v>6</v>
      </c>
      <c r="F61" s="481">
        <f>COMPOSIÇÕES!G833</f>
        <v>46.76</v>
      </c>
      <c r="G61" s="475">
        <f t="shared" si="8"/>
        <v>57.15</v>
      </c>
      <c r="H61" s="560">
        <f t="shared" si="15"/>
        <v>342.9</v>
      </c>
    </row>
    <row r="62" spans="1:8" x14ac:dyDescent="0.25">
      <c r="A62" s="559" t="s">
        <v>1328</v>
      </c>
      <c r="B62" s="478" t="str">
        <f>COMPOSIÇÕES!A487</f>
        <v>CPU 107</v>
      </c>
      <c r="C62" s="461" t="str">
        <f>COMPOSIÇÕES!C487</f>
        <v xml:space="preserve">PINO AUTO TRAVANTE  100 MM PARA ISOLADOR </v>
      </c>
      <c r="D62" s="542" t="s">
        <v>62</v>
      </c>
      <c r="E62" s="458">
        <v>3</v>
      </c>
      <c r="F62" s="481">
        <f>COMPOSIÇÕES!G497</f>
        <v>23.12</v>
      </c>
      <c r="G62" s="475">
        <f t="shared" si="8"/>
        <v>28.25</v>
      </c>
      <c r="H62" s="560">
        <f t="shared" si="15"/>
        <v>84.75</v>
      </c>
    </row>
    <row r="63" spans="1:8" x14ac:dyDescent="0.25">
      <c r="A63" s="559" t="s">
        <v>1329</v>
      </c>
      <c r="B63" s="478" t="str">
        <f>COMPOSIÇÕES!A1437</f>
        <v>CPU 158</v>
      </c>
      <c r="C63" s="461" t="str">
        <f>COMPOSIÇÕES!C1437</f>
        <v>PARAFUSO ZINCADO, SEXTAVADO, COM ROSCA INTEIRA, DIAMETRO 5/8''</v>
      </c>
      <c r="D63" s="542" t="s">
        <v>62</v>
      </c>
      <c r="E63" s="458">
        <v>4</v>
      </c>
      <c r="F63" s="481">
        <f>COMPOSIÇÕES!G1447</f>
        <v>14.61</v>
      </c>
      <c r="G63" s="475">
        <f t="shared" si="8"/>
        <v>17.850000000000001</v>
      </c>
      <c r="H63" s="560">
        <f t="shared" ref="H63" si="18">TRUNC(G63*E63,2)</f>
        <v>71.400000000000006</v>
      </c>
    </row>
    <row r="64" spans="1:8" x14ac:dyDescent="0.25">
      <c r="A64" s="559" t="s">
        <v>1330</v>
      </c>
      <c r="B64" s="478" t="str">
        <f>COMPOSIÇÕES!A451</f>
        <v>CPU 105</v>
      </c>
      <c r="C64" s="461" t="str">
        <f>COMPOSIÇÕES!C451</f>
        <v>MÃO FRANCESA PLANA NORMAL 619 MM</v>
      </c>
      <c r="D64" s="542" t="s">
        <v>62</v>
      </c>
      <c r="E64" s="458">
        <v>4</v>
      </c>
      <c r="F64" s="481">
        <f>COMPOSIÇÕES!G461</f>
        <v>34.769999999999996</v>
      </c>
      <c r="G64" s="475">
        <f t="shared" si="8"/>
        <v>42.49</v>
      </c>
      <c r="H64" s="560">
        <f t="shared" ref="H64:H79" si="19">TRUNC(G64*E64,2)</f>
        <v>169.96</v>
      </c>
    </row>
    <row r="65" spans="1:8" x14ac:dyDescent="0.25">
      <c r="A65" s="559" t="s">
        <v>1331</v>
      </c>
      <c r="B65" s="478" t="str">
        <f>COMPOSIÇÕES!A631</f>
        <v>CPU 115</v>
      </c>
      <c r="C65" s="461" t="str">
        <f>COMPOSIÇÕES!C631</f>
        <v>ARRUELA QUADRADA EM ACO GALVANIZADO, DIMENSAO = 38 MM, ESPESSURA = 3MM, DIAMETRO DO FURO= 18 MM</v>
      </c>
      <c r="D65" s="542" t="s">
        <v>62</v>
      </c>
      <c r="E65" s="458">
        <v>14</v>
      </c>
      <c r="F65" s="481">
        <f>COMPOSIÇÕES!G641</f>
        <v>1.54</v>
      </c>
      <c r="G65" s="475">
        <f t="shared" si="8"/>
        <v>1.88</v>
      </c>
      <c r="H65" s="560">
        <f t="shared" si="19"/>
        <v>26.32</v>
      </c>
    </row>
    <row r="66" spans="1:8" x14ac:dyDescent="0.25">
      <c r="A66" s="559" t="s">
        <v>1332</v>
      </c>
      <c r="B66" s="478" t="str">
        <f>COMPOSIÇÕES!A325</f>
        <v>CPU 99</v>
      </c>
      <c r="C66" s="461" t="str">
        <f>COMPOSIÇÕES!C325</f>
        <v>PROTETOR ISOLANTE PARA BUCHA/PARA RAIO -  PVC</v>
      </c>
      <c r="D66" s="542" t="s">
        <v>62</v>
      </c>
      <c r="E66" s="458">
        <v>12</v>
      </c>
      <c r="F66" s="481">
        <f>COMPOSIÇÕES!G335</f>
        <v>13.219999999999999</v>
      </c>
      <c r="G66" s="475">
        <f t="shared" ref="G66" si="20">TRUNC((F66*(1+$H$6))*(1+$H$4),2)</f>
        <v>16.149999999999999</v>
      </c>
      <c r="H66" s="560">
        <f t="shared" ref="H66" si="21">TRUNC(G66*E66,2)</f>
        <v>193.8</v>
      </c>
    </row>
    <row r="67" spans="1:8" x14ac:dyDescent="0.25">
      <c r="A67" s="559" t="s">
        <v>1333</v>
      </c>
      <c r="B67" s="478" t="str">
        <f>COMPOSIÇÕES!A346</f>
        <v>CPU 100</v>
      </c>
      <c r="C67" s="461" t="str">
        <f>COMPOSIÇÕES!C346</f>
        <v>CONECTOR CUNHA ESTRIBO COM CAPA - 50 MM</v>
      </c>
      <c r="D67" s="542" t="s">
        <v>62</v>
      </c>
      <c r="E67" s="458">
        <v>6</v>
      </c>
      <c r="F67" s="481">
        <f>COMPOSIÇÕES!G356</f>
        <v>54.879999999999995</v>
      </c>
      <c r="G67" s="475">
        <f t="shared" si="8"/>
        <v>67.069999999999993</v>
      </c>
      <c r="H67" s="560">
        <f t="shared" si="19"/>
        <v>402.42</v>
      </c>
    </row>
    <row r="68" spans="1:8" x14ac:dyDescent="0.25">
      <c r="A68" s="559" t="s">
        <v>1334</v>
      </c>
      <c r="B68" s="478" t="str">
        <f>COMPOSIÇÕES!A367</f>
        <v>CPU 101</v>
      </c>
      <c r="C68" s="461" t="str">
        <f>COMPOSIÇÕES!C367</f>
        <v xml:space="preserve">PERFIL U </v>
      </c>
      <c r="D68" s="542" t="s">
        <v>62</v>
      </c>
      <c r="E68" s="458">
        <v>2</v>
      </c>
      <c r="F68" s="481">
        <f>COMPOSIÇÕES!G377</f>
        <v>224.15</v>
      </c>
      <c r="G68" s="475">
        <f t="shared" si="8"/>
        <v>273.95999999999998</v>
      </c>
      <c r="H68" s="560">
        <f t="shared" si="19"/>
        <v>547.91999999999996</v>
      </c>
    </row>
    <row r="69" spans="1:8" x14ac:dyDescent="0.25">
      <c r="A69" s="559" t="s">
        <v>1352</v>
      </c>
      <c r="B69" s="478" t="str">
        <f>COMPOSIÇÕES!A388</f>
        <v>CPU 102</v>
      </c>
      <c r="C69" s="461" t="str">
        <f>COMPOSIÇÕES!C388</f>
        <v>FIXADOR DE PERFIL U - EST. CUF3</v>
      </c>
      <c r="D69" s="542" t="s">
        <v>62</v>
      </c>
      <c r="E69" s="458">
        <v>2</v>
      </c>
      <c r="F69" s="481">
        <f>COMPOSIÇÕES!G398</f>
        <v>39.44</v>
      </c>
      <c r="G69" s="475">
        <f t="shared" ref="G69" si="22">TRUNC((F69*(1+$H$6))*(1+$H$4),2)</f>
        <v>48.2</v>
      </c>
      <c r="H69" s="560">
        <f t="shared" ref="H69" si="23">TRUNC(G69*E69,2)</f>
        <v>96.4</v>
      </c>
    </row>
    <row r="70" spans="1:8" x14ac:dyDescent="0.25">
      <c r="A70" s="559" t="s">
        <v>1353</v>
      </c>
      <c r="B70" s="478">
        <v>102109</v>
      </c>
      <c r="C70" s="461" t="s">
        <v>1295</v>
      </c>
      <c r="D70" s="542" t="s">
        <v>62</v>
      </c>
      <c r="E70" s="458">
        <v>4</v>
      </c>
      <c r="F70" s="481">
        <v>64.989999999999995</v>
      </c>
      <c r="G70" s="475">
        <f t="shared" si="8"/>
        <v>79.430000000000007</v>
      </c>
      <c r="H70" s="560">
        <f t="shared" ref="H70:H72" si="24">TRUNC(G70*E70,2)</f>
        <v>317.72000000000003</v>
      </c>
    </row>
    <row r="71" spans="1:8" x14ac:dyDescent="0.25">
      <c r="A71" s="559" t="s">
        <v>1399</v>
      </c>
      <c r="B71" s="478" t="str">
        <f>COMPOSIÇÕES!A179</f>
        <v>CPU 90</v>
      </c>
      <c r="C71" s="461" t="str">
        <f>COMPOSIÇÕES!C179</f>
        <v>PARA-RAIOS DE DISTRIBUICAO, TENSAO NOMINAL 15 KV, CORRENTE NOMINAL DE DESCARGA 5 KA</v>
      </c>
      <c r="D71" s="542" t="s">
        <v>62</v>
      </c>
      <c r="E71" s="458">
        <v>6</v>
      </c>
      <c r="F71" s="481">
        <f>COMPOSIÇÕES!G189</f>
        <v>262.28999999999996</v>
      </c>
      <c r="G71" s="475">
        <f t="shared" si="8"/>
        <v>320.58</v>
      </c>
      <c r="H71" s="560">
        <f t="shared" si="24"/>
        <v>1923.48</v>
      </c>
    </row>
    <row r="72" spans="1:8" ht="36" customHeight="1" x14ac:dyDescent="0.25">
      <c r="A72" s="559" t="s">
        <v>1511</v>
      </c>
      <c r="B72" s="478">
        <v>102103</v>
      </c>
      <c r="C72" s="479" t="s">
        <v>1671</v>
      </c>
      <c r="D72" s="478" t="s">
        <v>62</v>
      </c>
      <c r="E72" s="480">
        <v>1</v>
      </c>
      <c r="F72" s="481">
        <v>19087.310000000001</v>
      </c>
      <c r="G72" s="475">
        <f t="shared" si="8"/>
        <v>23329.68</v>
      </c>
      <c r="H72" s="560">
        <f t="shared" si="24"/>
        <v>23329.68</v>
      </c>
    </row>
    <row r="73" spans="1:8" ht="36" customHeight="1" x14ac:dyDescent="0.25">
      <c r="A73" s="559" t="s">
        <v>1512</v>
      </c>
      <c r="B73" s="478">
        <v>102107</v>
      </c>
      <c r="C73" s="479" t="s">
        <v>1419</v>
      </c>
      <c r="D73" s="478" t="s">
        <v>62</v>
      </c>
      <c r="E73" s="480">
        <v>1</v>
      </c>
      <c r="F73" s="481">
        <v>53284</v>
      </c>
      <c r="G73" s="475">
        <f t="shared" ref="G73" si="25">TRUNC((F73*(1+$H$6))*(1+$H$4),2)</f>
        <v>65126.98</v>
      </c>
      <c r="H73" s="560">
        <f t="shared" ref="H73" si="26">TRUNC(G73*E73,2)</f>
        <v>65126.98</v>
      </c>
    </row>
    <row r="74" spans="1:8" x14ac:dyDescent="0.25">
      <c r="A74" s="559" t="s">
        <v>1513</v>
      </c>
      <c r="B74" s="478" t="str">
        <f>COMPOSIÇÕES!A1357</f>
        <v>CPU 154</v>
      </c>
      <c r="C74" s="479" t="str">
        <f>COMPOSIÇÕES!C1357</f>
        <v>MÃO FRANCESA PERFILADA</v>
      </c>
      <c r="D74" s="478" t="s">
        <v>62</v>
      </c>
      <c r="E74" s="480">
        <v>2</v>
      </c>
      <c r="F74" s="481">
        <f>COMPOSIÇÕES!G1367</f>
        <v>45.8</v>
      </c>
      <c r="G74" s="475">
        <f t="shared" si="8"/>
        <v>55.97</v>
      </c>
      <c r="H74" s="560">
        <f t="shared" si="19"/>
        <v>111.94</v>
      </c>
    </row>
    <row r="75" spans="1:8" x14ac:dyDescent="0.25">
      <c r="A75" s="559" t="s">
        <v>1514</v>
      </c>
      <c r="B75" s="478" t="str">
        <f>COMPOSIÇÕES!A1400</f>
        <v>CPU 156</v>
      </c>
      <c r="C75" s="479" t="str">
        <f>COMPOSIÇÕES!C1400</f>
        <v>BRAÇO AFASTADOR HORIZONTAL</v>
      </c>
      <c r="D75" s="478" t="s">
        <v>62</v>
      </c>
      <c r="E75" s="480">
        <v>2</v>
      </c>
      <c r="F75" s="481">
        <f>COMPOSIÇÕES!G1410</f>
        <v>414.90000000000003</v>
      </c>
      <c r="G75" s="475">
        <f t="shared" si="8"/>
        <v>507.11</v>
      </c>
      <c r="H75" s="560">
        <f t="shared" ref="H75:H78" si="27">TRUNC(G75*E75,2)</f>
        <v>1014.22</v>
      </c>
    </row>
    <row r="76" spans="1:8" x14ac:dyDescent="0.25">
      <c r="A76" s="559" t="s">
        <v>1515</v>
      </c>
      <c r="B76" s="478" t="str">
        <f>COMPOSIÇÕES!A268</f>
        <v>CPU 96</v>
      </c>
      <c r="C76" s="461" t="str">
        <f>COMPOSIÇÕES!C268</f>
        <v>GRAMPO METALICO TIPO OLHAL PARA HASTE DE ATERRAMENTO DE 5/8'', CONDUTOR DE *10* A 50 MM2</v>
      </c>
      <c r="D76" s="542" t="s">
        <v>62</v>
      </c>
      <c r="E76" s="458">
        <v>11</v>
      </c>
      <c r="F76" s="481">
        <f>COMPOSIÇÕES!G278</f>
        <v>20.060000000000002</v>
      </c>
      <c r="G76" s="475">
        <f t="shared" si="8"/>
        <v>24.51</v>
      </c>
      <c r="H76" s="560">
        <f t="shared" si="27"/>
        <v>269.61</v>
      </c>
    </row>
    <row r="77" spans="1:8" x14ac:dyDescent="0.25">
      <c r="A77" s="559" t="s">
        <v>1524</v>
      </c>
      <c r="B77" s="478">
        <v>98111</v>
      </c>
      <c r="C77" s="549" t="s">
        <v>1297</v>
      </c>
      <c r="D77" s="457" t="s">
        <v>62</v>
      </c>
      <c r="E77" s="458">
        <v>6</v>
      </c>
      <c r="F77" s="475">
        <v>60.54</v>
      </c>
      <c r="G77" s="475">
        <f t="shared" si="8"/>
        <v>73.989999999999995</v>
      </c>
      <c r="H77" s="560">
        <f t="shared" si="27"/>
        <v>443.94</v>
      </c>
    </row>
    <row r="78" spans="1:8" x14ac:dyDescent="0.25">
      <c r="A78" s="559" t="s">
        <v>1525</v>
      </c>
      <c r="B78" s="478">
        <v>96985</v>
      </c>
      <c r="C78" s="461" t="s">
        <v>1296</v>
      </c>
      <c r="D78" s="542" t="s">
        <v>62</v>
      </c>
      <c r="E78" s="458">
        <v>11</v>
      </c>
      <c r="F78" s="481">
        <v>79.59</v>
      </c>
      <c r="G78" s="475">
        <f t="shared" si="8"/>
        <v>97.27</v>
      </c>
      <c r="H78" s="560">
        <f t="shared" si="27"/>
        <v>1069.97</v>
      </c>
    </row>
    <row r="79" spans="1:8" x14ac:dyDescent="0.25">
      <c r="A79" s="559" t="s">
        <v>1630</v>
      </c>
      <c r="B79" s="478" t="str">
        <f>COMPOSIÇÕES!A223</f>
        <v>CPU 93</v>
      </c>
      <c r="C79" s="479" t="str">
        <f>COMPOSIÇÕES!C223</f>
        <v>CABO DE COBRE NU 50 MM2 MEIO-DURO</v>
      </c>
      <c r="D79" s="478" t="s">
        <v>275</v>
      </c>
      <c r="E79" s="480">
        <v>90</v>
      </c>
      <c r="F79" s="481">
        <f>COMPOSIÇÕES!G233</f>
        <v>62.15</v>
      </c>
      <c r="G79" s="475">
        <f t="shared" si="8"/>
        <v>75.959999999999994</v>
      </c>
      <c r="H79" s="560">
        <f t="shared" si="19"/>
        <v>6836.4</v>
      </c>
    </row>
    <row r="80" spans="1:8" x14ac:dyDescent="0.25">
      <c r="A80" s="715" t="s">
        <v>778</v>
      </c>
      <c r="B80" s="716"/>
      <c r="C80" s="716"/>
      <c r="D80" s="716"/>
      <c r="E80" s="716"/>
      <c r="F80" s="716"/>
      <c r="G80" s="716"/>
      <c r="H80" s="557">
        <f>SUM(H26:H79)</f>
        <v>313998.67</v>
      </c>
    </row>
    <row r="81" spans="1:8" x14ac:dyDescent="0.25">
      <c r="A81" s="712"/>
      <c r="B81" s="713"/>
      <c r="C81" s="713"/>
      <c r="D81" s="713"/>
      <c r="E81" s="713"/>
      <c r="F81" s="713"/>
      <c r="G81" s="713"/>
      <c r="H81" s="714"/>
    </row>
    <row r="82" spans="1:8" x14ac:dyDescent="0.25">
      <c r="A82" s="555" t="s">
        <v>227</v>
      </c>
      <c r="B82" s="454"/>
      <c r="C82" s="455" t="s">
        <v>1400</v>
      </c>
      <c r="D82" s="710"/>
      <c r="E82" s="710"/>
      <c r="F82" s="710"/>
      <c r="G82" s="710"/>
      <c r="H82" s="711"/>
    </row>
    <row r="83" spans="1:8" x14ac:dyDescent="0.25">
      <c r="A83" s="544" t="s">
        <v>229</v>
      </c>
      <c r="B83" s="457" t="str">
        <f>COMPOSIÇÕES!A631</f>
        <v>CPU 115</v>
      </c>
      <c r="C83" s="461" t="str">
        <f>COMPOSIÇÕES!C631</f>
        <v>ARRUELA QUADRADA EM ACO GALVANIZADO, DIMENSAO = 38 MM, ESPESSURA = 3MM, DIAMETRO DO FURO= 18 MM</v>
      </c>
      <c r="D83" s="457" t="s">
        <v>62</v>
      </c>
      <c r="E83" s="457">
        <v>18</v>
      </c>
      <c r="F83" s="459">
        <f>COMPOSIÇÕES!G641</f>
        <v>1.54</v>
      </c>
      <c r="G83" s="459">
        <f t="shared" ref="G83" si="28">TRUNC((F83*(1+$H$6))*(1+$H$4),2)</f>
        <v>1.88</v>
      </c>
      <c r="H83" s="514">
        <f t="shared" ref="H83" si="29">TRUNC(G83*E83,2)</f>
        <v>33.840000000000003</v>
      </c>
    </row>
    <row r="84" spans="1:8" x14ac:dyDescent="0.25">
      <c r="A84" s="544" t="s">
        <v>233</v>
      </c>
      <c r="B84" s="457" t="str">
        <f>COMPOSIÇÕES!A37</f>
        <v>CPU 81</v>
      </c>
      <c r="C84" s="461" t="str">
        <f>COMPOSIÇÕES!C37</f>
        <v>SAPATILHA EM ACO GALVANIZADO PARA CABOS COM DIAMETRO NOMINAL ATE 5/8"</v>
      </c>
      <c r="D84" s="457" t="s">
        <v>62</v>
      </c>
      <c r="E84" s="457">
        <v>12</v>
      </c>
      <c r="F84" s="459">
        <f>COMPOSIÇÕES!G47</f>
        <v>11.26</v>
      </c>
      <c r="G84" s="459">
        <f t="shared" ref="G84" si="30">TRUNC((F84*(1+$H$6))*(1+$H$4),2)</f>
        <v>13.76</v>
      </c>
      <c r="H84" s="514">
        <f t="shared" ref="H84" si="31">TRUNC(G84*E84,2)</f>
        <v>165.12</v>
      </c>
    </row>
    <row r="85" spans="1:8" x14ac:dyDescent="0.25">
      <c r="A85" s="544" t="s">
        <v>237</v>
      </c>
      <c r="B85" s="457" t="str">
        <f>COMPOSIÇÕES!A845</f>
        <v>CPU 126</v>
      </c>
      <c r="C85" s="461" t="str">
        <f>COMPOSIÇÕES!C845</f>
        <v>OLHAL PARA PARAFUSO</v>
      </c>
      <c r="D85" s="457" t="s">
        <v>62</v>
      </c>
      <c r="E85" s="457">
        <v>6</v>
      </c>
      <c r="F85" s="462">
        <f>COMPOSIÇÕES!G855</f>
        <v>42.29</v>
      </c>
      <c r="G85" s="459">
        <f t="shared" ref="G85" si="32">TRUNC((F85*(1+$H$6))*(1+$H$4),2)</f>
        <v>51.68</v>
      </c>
      <c r="H85" s="514">
        <f t="shared" ref="H85" si="33">TRUNC(G85*E85,2)</f>
        <v>310.08</v>
      </c>
    </row>
    <row r="86" spans="1:8" x14ac:dyDescent="0.25">
      <c r="A86" s="544" t="s">
        <v>241</v>
      </c>
      <c r="B86" s="457" t="str">
        <f>COMPOSIÇÕES!A52</f>
        <v>CPU 82</v>
      </c>
      <c r="C86" s="535" t="str">
        <f>COMPOSIÇÕES!C52</f>
        <v>PARAFUSO M16 EM ACO GALVANIZADO, COMPRIMENTO = 125 MM, DIAMETRO = 16 MM, ROSCA MAQUINA, CABECA QUADRADA</v>
      </c>
      <c r="D86" s="457" t="s">
        <v>62</v>
      </c>
      <c r="E86" s="457">
        <v>18</v>
      </c>
      <c r="F86" s="462">
        <f>COMPOSIÇÕES!G62</f>
        <v>11.829999999999998</v>
      </c>
      <c r="G86" s="459">
        <f t="shared" ref="G86:G91" si="34">TRUNC((F86*(1+$H$6))*(1+$H$4),2)</f>
        <v>14.45</v>
      </c>
      <c r="H86" s="514">
        <f t="shared" ref="H86:H91" si="35">TRUNC(G86*E86,2)</f>
        <v>260.10000000000002</v>
      </c>
    </row>
    <row r="87" spans="1:8" x14ac:dyDescent="0.25">
      <c r="A87" s="544" t="s">
        <v>242</v>
      </c>
      <c r="B87" s="457" t="str">
        <f>COMPOSIÇÕES!A487</f>
        <v>CPU 107</v>
      </c>
      <c r="C87" s="461" t="str">
        <f>COMPOSIÇÕES!C487</f>
        <v xml:space="preserve">PINO AUTO TRAVANTE  100 MM PARA ISOLADOR </v>
      </c>
      <c r="D87" s="457" t="s">
        <v>62</v>
      </c>
      <c r="E87" s="457">
        <v>18</v>
      </c>
      <c r="F87" s="462">
        <f>COMPOSIÇÕES!G497</f>
        <v>23.12</v>
      </c>
      <c r="G87" s="459">
        <f t="shared" si="34"/>
        <v>28.25</v>
      </c>
      <c r="H87" s="514">
        <f t="shared" si="35"/>
        <v>508.5</v>
      </c>
    </row>
    <row r="88" spans="1:8" x14ac:dyDescent="0.25">
      <c r="A88" s="544" t="s">
        <v>712</v>
      </c>
      <c r="B88" s="457" t="str">
        <f>COMPOSIÇÕES!A112</f>
        <v>CPU 86</v>
      </c>
      <c r="C88" s="461" t="str">
        <f>COMPOSIÇÕES!C112</f>
        <v>PORCA OLHAL EM ACO GALVANIZADO, ESPESSURA 16MM, ABERTURA 21MM</v>
      </c>
      <c r="D88" s="457" t="s">
        <v>62</v>
      </c>
      <c r="E88" s="457">
        <v>6</v>
      </c>
      <c r="F88" s="462">
        <f>COMPOSIÇÕES!G122</f>
        <v>20.7</v>
      </c>
      <c r="G88" s="459">
        <f t="shared" si="34"/>
        <v>25.3</v>
      </c>
      <c r="H88" s="514">
        <f t="shared" si="35"/>
        <v>151.80000000000001</v>
      </c>
    </row>
    <row r="89" spans="1:8" x14ac:dyDescent="0.25">
      <c r="A89" s="544" t="s">
        <v>713</v>
      </c>
      <c r="B89" s="457" t="str">
        <f>COMPOSIÇÕES!A472</f>
        <v>CPU 106</v>
      </c>
      <c r="C89" s="461" t="str">
        <f>COMPOSIÇÕES!C472</f>
        <v>ISOLADOR DE PORCELANA, TIPO PINO MONOCORPO, PARA TENSAO DE *15* KV</v>
      </c>
      <c r="D89" s="457" t="s">
        <v>62</v>
      </c>
      <c r="E89" s="457">
        <v>18</v>
      </c>
      <c r="F89" s="462">
        <f>COMPOSIÇÕES!G482</f>
        <v>36.36</v>
      </c>
      <c r="G89" s="459">
        <f t="shared" si="34"/>
        <v>44.44</v>
      </c>
      <c r="H89" s="514">
        <f t="shared" si="35"/>
        <v>799.92</v>
      </c>
    </row>
    <row r="90" spans="1:8" x14ac:dyDescent="0.25">
      <c r="A90" s="544" t="s">
        <v>714</v>
      </c>
      <c r="B90" s="457" t="str">
        <f>COMPOSIÇÕES!A283</f>
        <v>CPU 97</v>
      </c>
      <c r="C90" s="461" t="str">
        <f>COMPOSIÇÕES!C283</f>
        <v>ALÇA PREFORMADA ESTAI 2"</v>
      </c>
      <c r="D90" s="457" t="s">
        <v>62</v>
      </c>
      <c r="E90" s="457">
        <v>12</v>
      </c>
      <c r="F90" s="462">
        <f>COMPOSIÇÕES!G293</f>
        <v>13.17</v>
      </c>
      <c r="G90" s="459">
        <f t="shared" si="34"/>
        <v>16.09</v>
      </c>
      <c r="H90" s="514">
        <f t="shared" si="35"/>
        <v>193.08</v>
      </c>
    </row>
    <row r="91" spans="1:8" x14ac:dyDescent="0.25">
      <c r="A91" s="544" t="s">
        <v>859</v>
      </c>
      <c r="B91" s="457" t="str">
        <f>COMPOSIÇÕES!A1534</f>
        <v>CPU 164</v>
      </c>
      <c r="C91" s="461" t="str">
        <f>COMPOSIÇÕES!C1534</f>
        <v>FORNECIMENTO E INSTALAÇÃO POSTE DT 10/300</v>
      </c>
      <c r="D91" s="457" t="s">
        <v>62</v>
      </c>
      <c r="E91" s="457">
        <v>6</v>
      </c>
      <c r="F91" s="462">
        <f>COMPOSIÇÕES!G1543</f>
        <v>1523.28</v>
      </c>
      <c r="G91" s="459">
        <f t="shared" si="34"/>
        <v>1861.84</v>
      </c>
      <c r="H91" s="514">
        <f t="shared" si="35"/>
        <v>11171.04</v>
      </c>
    </row>
    <row r="92" spans="1:8" x14ac:dyDescent="0.25">
      <c r="A92" s="715" t="s">
        <v>778</v>
      </c>
      <c r="B92" s="716"/>
      <c r="C92" s="716"/>
      <c r="D92" s="716"/>
      <c r="E92" s="716"/>
      <c r="F92" s="716"/>
      <c r="G92" s="716"/>
      <c r="H92" s="557">
        <f>SUM(H83:H91)</f>
        <v>13593.48</v>
      </c>
    </row>
    <row r="93" spans="1:8" x14ac:dyDescent="0.25">
      <c r="A93" s="727"/>
      <c r="B93" s="728"/>
      <c r="C93" s="728"/>
      <c r="D93" s="728"/>
      <c r="E93" s="728"/>
      <c r="F93" s="728"/>
      <c r="G93" s="728"/>
      <c r="H93" s="729"/>
    </row>
    <row r="94" spans="1:8" x14ac:dyDescent="0.25">
      <c r="A94" s="555" t="s">
        <v>243</v>
      </c>
      <c r="B94" s="454"/>
      <c r="C94" s="455" t="s">
        <v>1403</v>
      </c>
      <c r="D94" s="710"/>
      <c r="E94" s="710"/>
      <c r="F94" s="710"/>
      <c r="G94" s="710"/>
      <c r="H94" s="711"/>
    </row>
    <row r="95" spans="1:8" x14ac:dyDescent="0.25">
      <c r="A95" s="544" t="s">
        <v>245</v>
      </c>
      <c r="B95" s="457" t="str">
        <f>COMPOSIÇÕES!A631</f>
        <v>CPU 115</v>
      </c>
      <c r="C95" s="461" t="str">
        <f>COMPOSIÇÕES!C631</f>
        <v>ARRUELA QUADRADA EM ACO GALVANIZADO, DIMENSAO = 38 MM, ESPESSURA = 3MM, DIAMETRO DO FURO= 18 MM</v>
      </c>
      <c r="D95" s="457" t="s">
        <v>62</v>
      </c>
      <c r="E95" s="457">
        <v>42</v>
      </c>
      <c r="F95" s="462">
        <f>COMPOSIÇÕES!G641</f>
        <v>1.54</v>
      </c>
      <c r="G95" s="459">
        <f t="shared" ref="G95" si="36">TRUNC((F95*(1+$H$6))*(1+$H$4),2)</f>
        <v>1.88</v>
      </c>
      <c r="H95" s="514">
        <f t="shared" ref="H95" si="37">TRUNC(G95*E95,2)</f>
        <v>78.959999999999994</v>
      </c>
    </row>
    <row r="96" spans="1:8" x14ac:dyDescent="0.25">
      <c r="A96" s="544" t="s">
        <v>578</v>
      </c>
      <c r="B96" s="457" t="str">
        <f>COMPOSIÇÕES!A720</f>
        <v>CPU 120</v>
      </c>
      <c r="C96" s="461" t="str">
        <f>COMPOSIÇÕES!C720</f>
        <v xml:space="preserve">ESPAÇADOR LOSANGULAR VERTICAL - C/ TRAVA </v>
      </c>
      <c r="D96" s="457" t="s">
        <v>62</v>
      </c>
      <c r="E96" s="457">
        <v>28</v>
      </c>
      <c r="F96" s="462">
        <f>COMPOSIÇÕES!G730</f>
        <v>52.2</v>
      </c>
      <c r="G96" s="459">
        <f t="shared" ref="G96:G102" si="38">TRUNC((F96*(1+$H$6))*(1+$H$4),2)</f>
        <v>63.8</v>
      </c>
      <c r="H96" s="514">
        <f t="shared" ref="H96:H102" si="39">TRUNC(G96*E96,2)</f>
        <v>1786.4</v>
      </c>
    </row>
    <row r="97" spans="1:9" x14ac:dyDescent="0.25">
      <c r="A97" s="544" t="s">
        <v>581</v>
      </c>
      <c r="B97" s="457" t="str">
        <f>COMPOSIÇÕES!A1255</f>
        <v>CPU 149</v>
      </c>
      <c r="C97" s="461" t="str">
        <f>COMPOSIÇÕES!C1255</f>
        <v>BRAÇO TIPO L</v>
      </c>
      <c r="D97" s="457" t="s">
        <v>62</v>
      </c>
      <c r="E97" s="457">
        <v>14</v>
      </c>
      <c r="F97" s="462">
        <f>COMPOSIÇÕES!G1265</f>
        <v>177.60999999999999</v>
      </c>
      <c r="G97" s="459">
        <f t="shared" si="38"/>
        <v>217.08</v>
      </c>
      <c r="H97" s="514">
        <f t="shared" si="39"/>
        <v>3039.12</v>
      </c>
    </row>
    <row r="98" spans="1:9" x14ac:dyDescent="0.25">
      <c r="A98" s="544" t="s">
        <v>583</v>
      </c>
      <c r="B98" s="457" t="str">
        <f>COMPOSIÇÕES!A786</f>
        <v>CPU 123</v>
      </c>
      <c r="C98" s="461" t="str">
        <f>COMPOSIÇÕES!C786</f>
        <v>ESTRIBO PARA SUPORTE L - EST. CLEA1</v>
      </c>
      <c r="D98" s="457" t="s">
        <v>62</v>
      </c>
      <c r="E98" s="457">
        <v>14</v>
      </c>
      <c r="F98" s="462">
        <f>COMPOSIÇÕES!G796</f>
        <v>171.28</v>
      </c>
      <c r="G98" s="459">
        <f t="shared" si="38"/>
        <v>209.34</v>
      </c>
      <c r="H98" s="514">
        <f t="shared" si="39"/>
        <v>2930.76</v>
      </c>
    </row>
    <row r="99" spans="1:9" x14ac:dyDescent="0.25">
      <c r="A99" s="544" t="s">
        <v>719</v>
      </c>
      <c r="B99" s="457" t="str">
        <f>COMPOSIÇÕES!A52</f>
        <v>CPU 82</v>
      </c>
      <c r="C99" s="535" t="str">
        <f>COMPOSIÇÕES!C52</f>
        <v>PARAFUSO M16 EM ACO GALVANIZADO, COMPRIMENTO = 125 MM, DIAMETRO = 16 MM, ROSCA MAQUINA, CABECA QUADRADA</v>
      </c>
      <c r="D99" s="457" t="s">
        <v>62</v>
      </c>
      <c r="E99" s="457">
        <v>14</v>
      </c>
      <c r="F99" s="462">
        <f>COMPOSIÇÕES!G62</f>
        <v>11.829999999999998</v>
      </c>
      <c r="G99" s="459">
        <f t="shared" si="38"/>
        <v>14.45</v>
      </c>
      <c r="H99" s="514">
        <f t="shared" si="39"/>
        <v>202.3</v>
      </c>
    </row>
    <row r="100" spans="1:9" x14ac:dyDescent="0.25">
      <c r="A100" s="544" t="s">
        <v>1203</v>
      </c>
      <c r="B100" s="457" t="str">
        <f>COMPOSIÇÕES!A661</f>
        <v>CPU 117</v>
      </c>
      <c r="C100" s="461" t="str">
        <f>COMPOSIÇÕES!C661</f>
        <v>PARAFUSO FRANCES M16 EM ACO GALVANIZADO, COMPRIMENTO = 45 MM, DIAMETRO = 16MM, CABECA ABAULADA</v>
      </c>
      <c r="D100" s="457" t="s">
        <v>62</v>
      </c>
      <c r="E100" s="457">
        <v>14</v>
      </c>
      <c r="F100" s="462">
        <f>COMPOSIÇÕES!G671</f>
        <v>8.9600000000000009</v>
      </c>
      <c r="G100" s="459">
        <f t="shared" si="38"/>
        <v>10.95</v>
      </c>
      <c r="H100" s="514">
        <f t="shared" si="39"/>
        <v>153.30000000000001</v>
      </c>
    </row>
    <row r="101" spans="1:9" x14ac:dyDescent="0.25">
      <c r="A101" s="544" t="s">
        <v>1204</v>
      </c>
      <c r="B101" s="457" t="str">
        <f>COMPOSIÇÕES!A1437</f>
        <v>CPU 158</v>
      </c>
      <c r="C101" s="461" t="str">
        <f>COMPOSIÇÕES!C1437</f>
        <v>PARAFUSO ZINCADO, SEXTAVADO, COM ROSCA INTEIRA, DIAMETRO 5/8''</v>
      </c>
      <c r="D101" s="457" t="s">
        <v>62</v>
      </c>
      <c r="E101" s="457">
        <v>42</v>
      </c>
      <c r="F101" s="462">
        <f>COMPOSIÇÕES!G1447</f>
        <v>14.61</v>
      </c>
      <c r="G101" s="459">
        <f t="shared" si="38"/>
        <v>17.850000000000001</v>
      </c>
      <c r="H101" s="514">
        <f t="shared" si="39"/>
        <v>749.7</v>
      </c>
    </row>
    <row r="102" spans="1:9" x14ac:dyDescent="0.25">
      <c r="A102" s="544" t="s">
        <v>1298</v>
      </c>
      <c r="B102" s="457" t="str">
        <f>COMPOSIÇÕES!A1534</f>
        <v>CPU 164</v>
      </c>
      <c r="C102" s="461" t="str">
        <f>COMPOSIÇÕES!C1534</f>
        <v>FORNECIMENTO E INSTALAÇÃO POSTE DT 10/300</v>
      </c>
      <c r="D102" s="457" t="s">
        <v>62</v>
      </c>
      <c r="E102" s="457">
        <v>14</v>
      </c>
      <c r="F102" s="462">
        <f>COMPOSIÇÕES!G1543</f>
        <v>1523.28</v>
      </c>
      <c r="G102" s="459">
        <f t="shared" si="38"/>
        <v>1861.84</v>
      </c>
      <c r="H102" s="514">
        <f t="shared" si="39"/>
        <v>26065.759999999998</v>
      </c>
    </row>
    <row r="103" spans="1:9" x14ac:dyDescent="0.25">
      <c r="A103" s="715" t="s">
        <v>778</v>
      </c>
      <c r="B103" s="716"/>
      <c r="C103" s="716"/>
      <c r="D103" s="716"/>
      <c r="E103" s="716"/>
      <c r="F103" s="716"/>
      <c r="G103" s="716"/>
      <c r="H103" s="557">
        <f>SUM(H95:H102)</f>
        <v>35006.300000000003</v>
      </c>
    </row>
    <row r="104" spans="1:9" x14ac:dyDescent="0.25">
      <c r="A104" s="727"/>
      <c r="B104" s="728"/>
      <c r="C104" s="728"/>
      <c r="D104" s="728"/>
      <c r="E104" s="728"/>
      <c r="F104" s="728"/>
      <c r="G104" s="728"/>
      <c r="H104" s="729"/>
    </row>
    <row r="105" spans="1:9" x14ac:dyDescent="0.25">
      <c r="A105" s="555" t="s">
        <v>249</v>
      </c>
      <c r="B105" s="454"/>
      <c r="C105" s="455" t="s">
        <v>1404</v>
      </c>
      <c r="D105" s="710"/>
      <c r="E105" s="710"/>
      <c r="F105" s="710"/>
      <c r="G105" s="710"/>
      <c r="H105" s="711"/>
      <c r="I105" s="550">
        <v>2</v>
      </c>
    </row>
    <row r="106" spans="1:9" x14ac:dyDescent="0.25">
      <c r="A106" s="561" t="s">
        <v>251</v>
      </c>
      <c r="B106" s="476" t="str">
        <f>COMPOSIÇÕES!A631</f>
        <v>CPU 115</v>
      </c>
      <c r="C106" s="477" t="str">
        <f>COMPOSIÇÕES!C631</f>
        <v>ARRUELA QUADRADA EM ACO GALVANIZADO, DIMENSAO = 38 MM, ESPESSURA = 3MM, DIAMETRO DO FURO= 18 MM</v>
      </c>
      <c r="D106" s="476" t="s">
        <v>62</v>
      </c>
      <c r="E106" s="472">
        <v>11</v>
      </c>
      <c r="F106" s="474">
        <f>COMPOSIÇÕES!G641</f>
        <v>1.54</v>
      </c>
      <c r="G106" s="475">
        <f t="shared" ref="G106" si="40">TRUNC((F106*(1+$H$6))*(1+$H$4),2)</f>
        <v>1.88</v>
      </c>
      <c r="H106" s="560">
        <f t="shared" ref="H106" si="41">TRUNC(G106*E106,2)</f>
        <v>20.68</v>
      </c>
      <c r="I106" s="551">
        <v>44</v>
      </c>
    </row>
    <row r="107" spans="1:9" x14ac:dyDescent="0.25">
      <c r="A107" s="561" t="s">
        <v>255</v>
      </c>
      <c r="B107" s="476" t="str">
        <f>COMPOSIÇÕES!A37</f>
        <v>CPU 81</v>
      </c>
      <c r="C107" s="477" t="str">
        <f>COMPOSIÇÕES!C616</f>
        <v>SAPATILHA EM ACO GALVANIZADO PARA CABOS COM DIAMETRO NOMINAL ATE 5/8"</v>
      </c>
      <c r="D107" s="476" t="s">
        <v>62</v>
      </c>
      <c r="E107" s="472">
        <v>3</v>
      </c>
      <c r="F107" s="474">
        <f>COMPOSIÇÕES!G47</f>
        <v>11.26</v>
      </c>
      <c r="G107" s="475">
        <f t="shared" ref="G107:G127" si="42">TRUNC((F107*(1+$H$6))*(1+$H$4),2)</f>
        <v>13.76</v>
      </c>
      <c r="H107" s="560">
        <f t="shared" ref="H107:H127" si="43">TRUNC(G107*E107,2)</f>
        <v>41.28</v>
      </c>
      <c r="I107" s="551">
        <v>16</v>
      </c>
    </row>
    <row r="108" spans="1:9" ht="30" x14ac:dyDescent="0.25">
      <c r="A108" s="561" t="s">
        <v>259</v>
      </c>
      <c r="B108" s="476" t="str">
        <f>COMPOSIÇÕES!A127</f>
        <v>CPU 87</v>
      </c>
      <c r="C108" s="477" t="str">
        <f>COMPOSIÇÕES!C127</f>
        <v>CHAVE FUSIVEL PARA REDES DE DISTRIBUICAO, TENSAO DE 15,0 KV, CORRENTE NOMINAL DO PORTA FUSIVEL DE 100 A, CAPACIDADE DE INTERRUPCAO SIMETRICA DE 7,10 KA, CAPACIDADE DE INTERRUPCAO ASSIMETRICA 10,00 KA</v>
      </c>
      <c r="D108" s="476" t="s">
        <v>62</v>
      </c>
      <c r="E108" s="472">
        <v>3</v>
      </c>
      <c r="F108" s="474">
        <f>COMPOSIÇÕES!G137</f>
        <v>556.54</v>
      </c>
      <c r="G108" s="475">
        <f t="shared" si="42"/>
        <v>680.23</v>
      </c>
      <c r="H108" s="560">
        <f t="shared" si="43"/>
        <v>2040.69</v>
      </c>
      <c r="I108" s="551">
        <v>12</v>
      </c>
    </row>
    <row r="109" spans="1:9" x14ac:dyDescent="0.25">
      <c r="A109" s="561" t="s">
        <v>697</v>
      </c>
      <c r="B109" s="476" t="str">
        <f>COMPOSIÇÕES!A1013</f>
        <v>CPU 136</v>
      </c>
      <c r="C109" s="477" t="str">
        <f>COMPOSIÇÕES!C1013</f>
        <v>CINTA PARA POSTE CIRCULAR 210 MM</v>
      </c>
      <c r="D109" s="476" t="s">
        <v>62</v>
      </c>
      <c r="E109" s="472">
        <v>5</v>
      </c>
      <c r="F109" s="474">
        <f>COMPOSIÇÕES!G1023</f>
        <v>47.44</v>
      </c>
      <c r="G109" s="475">
        <f t="shared" ref="G109" si="44">TRUNC((F109*(1+$H$6))*(1+$H$4),2)</f>
        <v>57.98</v>
      </c>
      <c r="H109" s="560">
        <f t="shared" ref="H109" si="45">TRUNC(G109*E109,2)</f>
        <v>289.89999999999998</v>
      </c>
      <c r="I109" s="551"/>
    </row>
    <row r="110" spans="1:9" x14ac:dyDescent="0.25">
      <c r="A110" s="544" t="s">
        <v>1335</v>
      </c>
      <c r="B110" s="546" t="str">
        <f>COMPOSIÇÕES!A253</f>
        <v>CPU 95</v>
      </c>
      <c r="C110" s="533" t="str">
        <f>COMPOSIÇÕES!C253</f>
        <v>FITA ACO INOX PARA CINTAR POSTE, L = 19 MM, E = 0,5 MM (ROLO DE 30M)</v>
      </c>
      <c r="D110" s="546" t="s">
        <v>275</v>
      </c>
      <c r="E110" s="536">
        <v>8</v>
      </c>
      <c r="F110" s="463">
        <f>COMPOSIÇÕES!G263</f>
        <v>113.09</v>
      </c>
      <c r="G110" s="459">
        <f t="shared" si="42"/>
        <v>138.22</v>
      </c>
      <c r="H110" s="514">
        <f t="shared" si="43"/>
        <v>1105.76</v>
      </c>
      <c r="I110" s="551">
        <v>16</v>
      </c>
    </row>
    <row r="111" spans="1:9" x14ac:dyDescent="0.25">
      <c r="A111" s="561" t="s">
        <v>1336</v>
      </c>
      <c r="B111" s="476" t="str">
        <f>COMPOSIÇÕES!A194</f>
        <v>CPU 91</v>
      </c>
      <c r="C111" s="477" t="str">
        <f>COMPOSIÇÕES!C601</f>
        <v>GANCHO OLHAL EM ACO GALVANIZADO, ESPESSURA 16MM, ABERTURA 21MM</v>
      </c>
      <c r="D111" s="476" t="s">
        <v>62</v>
      </c>
      <c r="E111" s="472">
        <v>6</v>
      </c>
      <c r="F111" s="474">
        <f>COMPOSIÇÕES!G204</f>
        <v>25.740000000000002</v>
      </c>
      <c r="G111" s="475">
        <f t="shared" si="42"/>
        <v>31.46</v>
      </c>
      <c r="H111" s="560">
        <f t="shared" si="43"/>
        <v>188.76</v>
      </c>
      <c r="I111" s="551">
        <v>24</v>
      </c>
    </row>
    <row r="112" spans="1:9" x14ac:dyDescent="0.25">
      <c r="A112" s="561" t="s">
        <v>1337</v>
      </c>
      <c r="B112" s="476" t="str">
        <f>COMPOSIÇÕES!A451</f>
        <v>CPU 105</v>
      </c>
      <c r="C112" s="477" t="str">
        <f>COMPOSIÇÕES!C451</f>
        <v>MÃO FRANCESA PLANA NORMAL 619 MM</v>
      </c>
      <c r="D112" s="476" t="s">
        <v>62</v>
      </c>
      <c r="E112" s="472">
        <v>4</v>
      </c>
      <c r="F112" s="474">
        <f>COMPOSIÇÕES!G461</f>
        <v>34.769999999999996</v>
      </c>
      <c r="G112" s="475">
        <f t="shared" si="42"/>
        <v>42.49</v>
      </c>
      <c r="H112" s="560">
        <f t="shared" si="43"/>
        <v>169.96</v>
      </c>
      <c r="I112" s="551">
        <v>16</v>
      </c>
    </row>
    <row r="113" spans="1:9" x14ac:dyDescent="0.25">
      <c r="A113" s="561" t="s">
        <v>1338</v>
      </c>
      <c r="B113" s="476" t="str">
        <f>COMPOSIÇÕES!A409</f>
        <v>CPU 103</v>
      </c>
      <c r="C113" s="477" t="str">
        <f>COMPOSIÇÕES!C409</f>
        <v>MANILHA SAPATILHA</v>
      </c>
      <c r="D113" s="476" t="s">
        <v>62</v>
      </c>
      <c r="E113" s="472">
        <v>3</v>
      </c>
      <c r="F113" s="474">
        <f>COMPOSIÇÕES!D425</f>
        <v>21.63</v>
      </c>
      <c r="G113" s="475">
        <f t="shared" si="42"/>
        <v>26.43</v>
      </c>
      <c r="H113" s="560">
        <f t="shared" si="43"/>
        <v>79.290000000000006</v>
      </c>
      <c r="I113" s="551">
        <v>12</v>
      </c>
    </row>
    <row r="114" spans="1:9" x14ac:dyDescent="0.25">
      <c r="A114" s="561" t="s">
        <v>1339</v>
      </c>
      <c r="B114" s="476" t="str">
        <f>COMPOSIÇÕES!A646</f>
        <v>CPU 116</v>
      </c>
      <c r="C114" s="534" t="str">
        <f>COMPOSIÇÕES!C646</f>
        <v>PARAFUSO M16 EM ACO GALVANIZADO, COMPRIMENTO = 150 MM, DIAMETRO = 16 MM, ROSCA MAQUINA, CABECA QUADRADA</v>
      </c>
      <c r="D114" s="476" t="s">
        <v>62</v>
      </c>
      <c r="E114" s="472">
        <v>4</v>
      </c>
      <c r="F114" s="474">
        <f>COMPOSIÇÕES!G656</f>
        <v>12.68</v>
      </c>
      <c r="G114" s="475">
        <f t="shared" si="42"/>
        <v>15.49</v>
      </c>
      <c r="H114" s="560">
        <f t="shared" si="43"/>
        <v>61.96</v>
      </c>
      <c r="I114" s="551">
        <v>16</v>
      </c>
    </row>
    <row r="115" spans="1:9" x14ac:dyDescent="0.25">
      <c r="A115" s="561" t="s">
        <v>1340</v>
      </c>
      <c r="B115" s="476" t="str">
        <f>COMPOSIÇÕES!A661</f>
        <v>CPU 117</v>
      </c>
      <c r="C115" s="477" t="str">
        <f>COMPOSIÇÕES!C661</f>
        <v>PARAFUSO FRANCES M16 EM ACO GALVANIZADO, COMPRIMENTO = 45 MM, DIAMETRO = 16MM, CABECA ABAULADA</v>
      </c>
      <c r="D115" s="476" t="s">
        <v>62</v>
      </c>
      <c r="E115" s="472">
        <v>15</v>
      </c>
      <c r="F115" s="474">
        <f>COMPOSIÇÕES!G671</f>
        <v>8.9600000000000009</v>
      </c>
      <c r="G115" s="475">
        <f t="shared" si="42"/>
        <v>10.95</v>
      </c>
      <c r="H115" s="560">
        <f t="shared" si="43"/>
        <v>164.25</v>
      </c>
      <c r="I115" s="551">
        <v>28</v>
      </c>
    </row>
    <row r="116" spans="1:9" x14ac:dyDescent="0.25">
      <c r="A116" s="561" t="s">
        <v>1341</v>
      </c>
      <c r="B116" s="476" t="str">
        <f>COMPOSIÇÕES!A1437</f>
        <v>CPU 158</v>
      </c>
      <c r="C116" s="477" t="str">
        <f>COMPOSIÇÕES!C1437</f>
        <v>PARAFUSO ZINCADO, SEXTAVADO, COM ROSCA INTEIRA, DIAMETRO 5/8''</v>
      </c>
      <c r="D116" s="476" t="s">
        <v>62</v>
      </c>
      <c r="E116" s="472">
        <v>2</v>
      </c>
      <c r="F116" s="474">
        <f>COMPOSIÇÕES!G1447</f>
        <v>14.61</v>
      </c>
      <c r="G116" s="475">
        <f t="shared" si="42"/>
        <v>17.850000000000001</v>
      </c>
      <c r="H116" s="560">
        <f t="shared" si="43"/>
        <v>35.700000000000003</v>
      </c>
      <c r="I116" s="551">
        <v>10</v>
      </c>
    </row>
    <row r="117" spans="1:9" x14ac:dyDescent="0.25">
      <c r="A117" s="561" t="s">
        <v>1342</v>
      </c>
      <c r="B117" s="476" t="str">
        <f>COMPOSIÇÕES!A487</f>
        <v>CPU 107</v>
      </c>
      <c r="C117" s="477" t="str">
        <f>COMPOSIÇÕES!C487</f>
        <v xml:space="preserve">PINO AUTO TRAVANTE  100 MM PARA ISOLADOR </v>
      </c>
      <c r="D117" s="476" t="s">
        <v>62</v>
      </c>
      <c r="E117" s="472">
        <v>4</v>
      </c>
      <c r="F117" s="474">
        <f>COMPOSIÇÕES!G497</f>
        <v>23.12</v>
      </c>
      <c r="G117" s="475">
        <f t="shared" si="42"/>
        <v>28.25</v>
      </c>
      <c r="H117" s="560">
        <f t="shared" si="43"/>
        <v>113</v>
      </c>
      <c r="I117" s="551">
        <v>22</v>
      </c>
    </row>
    <row r="118" spans="1:9" x14ac:dyDescent="0.25">
      <c r="A118" s="561" t="s">
        <v>1343</v>
      </c>
      <c r="B118" s="476" t="str">
        <f>COMPOSIÇÕES!A808</f>
        <v>CPU 124</v>
      </c>
      <c r="C118" s="477" t="str">
        <f>COMPOSIÇÕES!C808</f>
        <v>PINO ROSCA EXTERNA, EM ACO GALVANIZADO, PARA ISOLADOR DE 15KV, DIAMETRO 25 MM, COMPRIMENTO *290* MM</v>
      </c>
      <c r="D118" s="476" t="s">
        <v>62</v>
      </c>
      <c r="E118" s="472">
        <f t="shared" ref="E118:E127" si="46">(I118/4)*$I$105</f>
        <v>5</v>
      </c>
      <c r="F118" s="474">
        <f>COMPOSIÇÕES!G818</f>
        <v>40.56</v>
      </c>
      <c r="G118" s="475">
        <f t="shared" si="42"/>
        <v>49.57</v>
      </c>
      <c r="H118" s="560">
        <f t="shared" si="43"/>
        <v>247.85</v>
      </c>
      <c r="I118" s="551">
        <v>10</v>
      </c>
    </row>
    <row r="119" spans="1:9" x14ac:dyDescent="0.25">
      <c r="A119" s="561" t="s">
        <v>1344</v>
      </c>
      <c r="B119" s="476" t="str">
        <f>COMPOSIÇÕES!A112</f>
        <v>CPU 86</v>
      </c>
      <c r="C119" s="477" t="str">
        <f>COMPOSIÇÕES!C112</f>
        <v>PORCA OLHAL EM ACO GALVANIZADO, ESPESSURA 16MM, ABERTURA 21MM</v>
      </c>
      <c r="D119" s="476" t="s">
        <v>62</v>
      </c>
      <c r="E119" s="472">
        <f t="shared" si="46"/>
        <v>5</v>
      </c>
      <c r="F119" s="474">
        <f>COMPOSIÇÕES!G122</f>
        <v>20.7</v>
      </c>
      <c r="G119" s="475">
        <f t="shared" si="42"/>
        <v>25.3</v>
      </c>
      <c r="H119" s="560">
        <f t="shared" si="43"/>
        <v>126.5</v>
      </c>
      <c r="I119" s="551">
        <v>10</v>
      </c>
    </row>
    <row r="120" spans="1:9" x14ac:dyDescent="0.25">
      <c r="A120" s="561" t="s">
        <v>1345</v>
      </c>
      <c r="B120" s="476" t="str">
        <f>COMPOSIÇÕES!A764</f>
        <v>CPU 122</v>
      </c>
      <c r="C120" s="477" t="str">
        <f>COMPOSIÇÕES!C764</f>
        <v>SUPORTE L - EST. CLEA1</v>
      </c>
      <c r="D120" s="476" t="s">
        <v>62</v>
      </c>
      <c r="E120" s="472">
        <v>3</v>
      </c>
      <c r="F120" s="474">
        <f>COMPOSIÇÕES!G774</f>
        <v>157.16999999999999</v>
      </c>
      <c r="G120" s="475">
        <f t="shared" si="42"/>
        <v>192.1</v>
      </c>
      <c r="H120" s="560">
        <f t="shared" si="43"/>
        <v>576.29999999999995</v>
      </c>
      <c r="I120" s="551">
        <v>12</v>
      </c>
    </row>
    <row r="121" spans="1:9" x14ac:dyDescent="0.25">
      <c r="A121" s="561" t="s">
        <v>1346</v>
      </c>
      <c r="B121" s="476" t="str">
        <f>COMPOSIÇÕES!A1313</f>
        <v>CPU 152</v>
      </c>
      <c r="C121" s="477" t="str">
        <f>COMPOSIÇÕES!C1313</f>
        <v>BRAÇO TIPO C</v>
      </c>
      <c r="D121" s="476" t="s">
        <v>62</v>
      </c>
      <c r="E121" s="472">
        <v>1</v>
      </c>
      <c r="F121" s="474">
        <f>COMPOSIÇÕES!G1323</f>
        <v>226.79</v>
      </c>
      <c r="G121" s="475">
        <f t="shared" si="42"/>
        <v>277.19</v>
      </c>
      <c r="H121" s="560">
        <f t="shared" si="43"/>
        <v>277.19</v>
      </c>
      <c r="I121" s="551">
        <v>4</v>
      </c>
    </row>
    <row r="122" spans="1:9" x14ac:dyDescent="0.25">
      <c r="A122" s="561" t="s">
        <v>1347</v>
      </c>
      <c r="B122" s="476" t="str">
        <f>COMPOSIÇÕES!A430</f>
        <v>CPU 104</v>
      </c>
      <c r="C122" s="477" t="str">
        <f>COMPOSIÇÕES!C430</f>
        <v>ISOLADOR BASTÃO SUSPENSÃO POLIMÉRICO 15 KV</v>
      </c>
      <c r="D122" s="476" t="s">
        <v>62</v>
      </c>
      <c r="E122" s="472">
        <v>3</v>
      </c>
      <c r="F122" s="474">
        <f>COMPOSIÇÕES!D446</f>
        <v>54.43</v>
      </c>
      <c r="G122" s="475">
        <f t="shared" si="42"/>
        <v>66.52</v>
      </c>
      <c r="H122" s="560">
        <f t="shared" si="43"/>
        <v>199.56</v>
      </c>
      <c r="I122" s="551">
        <v>12</v>
      </c>
    </row>
    <row r="123" spans="1:9" x14ac:dyDescent="0.25">
      <c r="A123" s="561" t="s">
        <v>1348</v>
      </c>
      <c r="B123" s="476" t="str">
        <f>COMPOSIÇÕES!A472</f>
        <v>CPU 106</v>
      </c>
      <c r="C123" s="477" t="str">
        <f>COMPOSIÇÕES!C472</f>
        <v>ISOLADOR DE PORCELANA, TIPO PINO MONOCORPO, PARA TENSAO DE *15* KV</v>
      </c>
      <c r="D123" s="476" t="s">
        <v>62</v>
      </c>
      <c r="E123" s="472">
        <v>4</v>
      </c>
      <c r="F123" s="474">
        <f>COMPOSIÇÕES!G482</f>
        <v>36.36</v>
      </c>
      <c r="G123" s="475">
        <f t="shared" si="42"/>
        <v>44.44</v>
      </c>
      <c r="H123" s="560">
        <f t="shared" si="43"/>
        <v>177.76</v>
      </c>
      <c r="I123" s="551">
        <v>16</v>
      </c>
    </row>
    <row r="124" spans="1:9" x14ac:dyDescent="0.25">
      <c r="A124" s="561" t="s">
        <v>1349</v>
      </c>
      <c r="B124" s="476" t="str">
        <f>COMPOSIÇÕES!A283</f>
        <v>CPU 97</v>
      </c>
      <c r="C124" s="477" t="str">
        <f>COMPOSIÇÕES!C283</f>
        <v>ALÇA PREFORMADA ESTAI 2"</v>
      </c>
      <c r="D124" s="476" t="s">
        <v>62</v>
      </c>
      <c r="E124" s="472">
        <v>2</v>
      </c>
      <c r="F124" s="474">
        <f>COMPOSIÇÕES!G293</f>
        <v>13.17</v>
      </c>
      <c r="G124" s="475">
        <f t="shared" si="42"/>
        <v>16.09</v>
      </c>
      <c r="H124" s="560">
        <f t="shared" si="43"/>
        <v>32.18</v>
      </c>
      <c r="I124" s="551">
        <v>8</v>
      </c>
    </row>
    <row r="125" spans="1:9" x14ac:dyDescent="0.25">
      <c r="A125" s="561" t="s">
        <v>1350</v>
      </c>
      <c r="B125" s="476" t="str">
        <f>COMPOSIÇÕES!A567</f>
        <v>CPU 111</v>
      </c>
      <c r="C125" s="477" t="str">
        <f>COMPOSIÇÕES!C567</f>
        <v>FORNECIMENTO E INSTALAÇÃO POSTE DT 11/600</v>
      </c>
      <c r="D125" s="476" t="s">
        <v>62</v>
      </c>
      <c r="E125" s="472">
        <v>1</v>
      </c>
      <c r="F125" s="474">
        <f>COMPOSIÇÕES!G576</f>
        <v>2836.83</v>
      </c>
      <c r="G125" s="475">
        <f t="shared" si="42"/>
        <v>3467.34</v>
      </c>
      <c r="H125" s="560">
        <f t="shared" si="43"/>
        <v>3467.34</v>
      </c>
      <c r="I125" s="551">
        <v>4</v>
      </c>
    </row>
    <row r="126" spans="1:9" x14ac:dyDescent="0.25">
      <c r="A126" s="561" t="s">
        <v>1351</v>
      </c>
      <c r="B126" s="476" t="str">
        <f>COMPOSIÇÕES!A149</f>
        <v>CPU 88</v>
      </c>
      <c r="C126" s="477" t="str">
        <f>COMPOSIÇÕES!C149</f>
        <v>CRUZETA DE CONCRETO LEVE, COMP. 2000 MM SECAO, 90 X 90 MM</v>
      </c>
      <c r="D126" s="476" t="s">
        <v>62</v>
      </c>
      <c r="E126" s="472">
        <v>2</v>
      </c>
      <c r="F126" s="474">
        <f>COMPOSIÇÕES!G159</f>
        <v>139.04</v>
      </c>
      <c r="G126" s="475">
        <f t="shared" si="42"/>
        <v>169.94</v>
      </c>
      <c r="H126" s="560">
        <f t="shared" si="43"/>
        <v>339.88</v>
      </c>
      <c r="I126" s="551">
        <v>8</v>
      </c>
    </row>
    <row r="127" spans="1:9" x14ac:dyDescent="0.25">
      <c r="A127" s="561" t="s">
        <v>1539</v>
      </c>
      <c r="B127" s="476" t="str">
        <f>COMPOSIÇÕES!A1100</f>
        <v>CPU 141</v>
      </c>
      <c r="C127" s="477" t="str">
        <f>COMPOSIÇÕES!C1100</f>
        <v>ELO FUSIVEL 10K</v>
      </c>
      <c r="D127" s="476" t="s">
        <v>62</v>
      </c>
      <c r="E127" s="472">
        <f t="shared" si="46"/>
        <v>6</v>
      </c>
      <c r="F127" s="474">
        <f>COMPOSIÇÕES!G1110</f>
        <v>9.98</v>
      </c>
      <c r="G127" s="475">
        <f t="shared" si="42"/>
        <v>12.19</v>
      </c>
      <c r="H127" s="560">
        <f t="shared" si="43"/>
        <v>73.14</v>
      </c>
      <c r="I127" s="551">
        <v>12</v>
      </c>
    </row>
    <row r="128" spans="1:9" x14ac:dyDescent="0.25">
      <c r="A128" s="715" t="s">
        <v>778</v>
      </c>
      <c r="B128" s="716"/>
      <c r="C128" s="716"/>
      <c r="D128" s="716"/>
      <c r="E128" s="716"/>
      <c r="F128" s="716"/>
      <c r="G128" s="716"/>
      <c r="H128" s="557">
        <f>SUM(H106:H127)</f>
        <v>9828.93</v>
      </c>
    </row>
    <row r="129" spans="1:9" x14ac:dyDescent="0.25">
      <c r="A129" s="715"/>
      <c r="B129" s="716"/>
      <c r="C129" s="716"/>
      <c r="D129" s="716"/>
      <c r="E129" s="716"/>
      <c r="F129" s="716"/>
      <c r="G129" s="716"/>
      <c r="H129" s="733"/>
    </row>
    <row r="130" spans="1:9" x14ac:dyDescent="0.25">
      <c r="A130" s="555" t="s">
        <v>263</v>
      </c>
      <c r="B130" s="454"/>
      <c r="C130" s="455" t="s">
        <v>1405</v>
      </c>
      <c r="D130" s="710"/>
      <c r="E130" s="710"/>
      <c r="F130" s="710"/>
      <c r="G130" s="710"/>
      <c r="H130" s="711"/>
      <c r="I130" s="376">
        <v>2</v>
      </c>
    </row>
    <row r="131" spans="1:9" x14ac:dyDescent="0.25">
      <c r="A131" s="562" t="s">
        <v>265</v>
      </c>
      <c r="B131" s="472" t="str">
        <f>COMPOSIÇÕES!A37</f>
        <v>CPU 81</v>
      </c>
      <c r="C131" s="473" t="str">
        <f>COMPOSIÇÕES!C37</f>
        <v>SAPATILHA EM ACO GALVANIZADO PARA CABOS COM DIAMETRO NOMINAL ATE 5/8"</v>
      </c>
      <c r="D131" s="472" t="s">
        <v>62</v>
      </c>
      <c r="E131" s="472">
        <v>3</v>
      </c>
      <c r="F131" s="474">
        <f>COMPOSIÇÕES!G47</f>
        <v>11.26</v>
      </c>
      <c r="G131" s="475">
        <f t="shared" ref="G131" si="47">TRUNC((F131*(1+$H$6))*(1+$H$4),2)</f>
        <v>13.76</v>
      </c>
      <c r="H131" s="560">
        <f t="shared" ref="H131" si="48">TRUNC(G131*E131,2)</f>
        <v>41.28</v>
      </c>
      <c r="I131" s="550">
        <v>9</v>
      </c>
    </row>
    <row r="132" spans="1:9" x14ac:dyDescent="0.25">
      <c r="A132" s="562" t="s">
        <v>269</v>
      </c>
      <c r="B132" s="472" t="str">
        <f>COMPOSIÇÕES!A867</f>
        <v>CPU 127</v>
      </c>
      <c r="C132" s="473" t="str">
        <f>COMPOSIÇÕES!C867</f>
        <v>CINTA CIRCULAR EM ACO GALVANIZADO DE 150 MM DE DIAMETRO PARA FIXACAO DE CAIXA MEDICAO, INCLUI PARAFUSOS E PORCAS</v>
      </c>
      <c r="D132" s="472" t="s">
        <v>62</v>
      </c>
      <c r="E132" s="472">
        <v>6</v>
      </c>
      <c r="F132" s="474">
        <f>COMPOSIÇÕES!G877</f>
        <v>40.019999999999996</v>
      </c>
      <c r="G132" s="475">
        <f t="shared" ref="G132" si="49">TRUNC((F132*(1+$H$6))*(1+$H$4),2)</f>
        <v>48.91</v>
      </c>
      <c r="H132" s="560">
        <f t="shared" ref="H132" si="50">TRUNC(G132*E132,2)</f>
        <v>293.45999999999998</v>
      </c>
      <c r="I132" s="550"/>
    </row>
    <row r="133" spans="1:9" x14ac:dyDescent="0.25">
      <c r="A133" s="562" t="s">
        <v>271</v>
      </c>
      <c r="B133" s="472" t="str">
        <f>COMPOSIÇÕES!A253</f>
        <v>CPU 95</v>
      </c>
      <c r="C133" s="473" t="str">
        <f>COMPOSIÇÕES!C253</f>
        <v>FITA ACO INOX PARA CINTAR POSTE, L = 19 MM, E = 0,5 MM (ROLO DE 30M)</v>
      </c>
      <c r="D133" s="472" t="s">
        <v>275</v>
      </c>
      <c r="E133" s="472">
        <f t="shared" ref="E133" si="51">(I133/3)*$I$130</f>
        <v>12</v>
      </c>
      <c r="F133" s="474">
        <f>COMPOSIÇÕES!G263</f>
        <v>113.09</v>
      </c>
      <c r="G133" s="475">
        <f t="shared" ref="G133:G146" si="52">TRUNC((F133*(1+$H$6))*(1+$H$4),2)</f>
        <v>138.22</v>
      </c>
      <c r="H133" s="560">
        <f t="shared" ref="H133:H146" si="53">TRUNC(G133*E133,2)</f>
        <v>1658.64</v>
      </c>
      <c r="I133" s="550">
        <v>18</v>
      </c>
    </row>
    <row r="134" spans="1:9" x14ac:dyDescent="0.25">
      <c r="A134" s="562" t="s">
        <v>276</v>
      </c>
      <c r="B134" s="472" t="str">
        <f>COMPOSIÇÕES!A194</f>
        <v>CPU 91</v>
      </c>
      <c r="C134" s="473" t="str">
        <f>COMPOSIÇÕES!C601</f>
        <v>GANCHO OLHAL EM ACO GALVANIZADO, ESPESSURA 16MM, ABERTURA 21MM</v>
      </c>
      <c r="D134" s="472" t="s">
        <v>62</v>
      </c>
      <c r="E134" s="472">
        <v>3</v>
      </c>
      <c r="F134" s="474">
        <f>COMPOSIÇÕES!G204</f>
        <v>25.740000000000002</v>
      </c>
      <c r="G134" s="475">
        <f t="shared" si="52"/>
        <v>31.46</v>
      </c>
      <c r="H134" s="560">
        <f t="shared" si="53"/>
        <v>94.38</v>
      </c>
      <c r="I134" s="550">
        <v>9</v>
      </c>
    </row>
    <row r="135" spans="1:9" x14ac:dyDescent="0.25">
      <c r="A135" s="562" t="s">
        <v>280</v>
      </c>
      <c r="B135" s="472" t="str">
        <f>COMPOSIÇÕES!A388</f>
        <v>CPU 102</v>
      </c>
      <c r="C135" s="473" t="str">
        <f>COMPOSIÇÕES!C388</f>
        <v>FIXADOR DE PERFIL U - EST. CUF3</v>
      </c>
      <c r="D135" s="472" t="s">
        <v>62</v>
      </c>
      <c r="E135" s="472">
        <v>1</v>
      </c>
      <c r="F135" s="474">
        <f>COMPOSIÇÕES!G398</f>
        <v>39.44</v>
      </c>
      <c r="G135" s="475">
        <f t="shared" si="52"/>
        <v>48.2</v>
      </c>
      <c r="H135" s="560">
        <f t="shared" si="53"/>
        <v>48.2</v>
      </c>
      <c r="I135" s="550">
        <v>3</v>
      </c>
    </row>
    <row r="136" spans="1:9" x14ac:dyDescent="0.25">
      <c r="A136" s="562" t="s">
        <v>284</v>
      </c>
      <c r="B136" s="472" t="str">
        <f>COMPOSIÇÕES!A409</f>
        <v>CPU 103</v>
      </c>
      <c r="C136" s="473" t="str">
        <f>COMPOSIÇÕES!C409</f>
        <v>MANILHA SAPATILHA</v>
      </c>
      <c r="D136" s="472" t="s">
        <v>62</v>
      </c>
      <c r="E136" s="472">
        <v>3</v>
      </c>
      <c r="F136" s="474">
        <f>COMPOSIÇÕES!D425</f>
        <v>21.63</v>
      </c>
      <c r="G136" s="475">
        <f t="shared" si="52"/>
        <v>26.43</v>
      </c>
      <c r="H136" s="560">
        <f t="shared" si="53"/>
        <v>79.290000000000006</v>
      </c>
      <c r="I136" s="550">
        <v>9</v>
      </c>
    </row>
    <row r="137" spans="1:9" x14ac:dyDescent="0.25">
      <c r="A137" s="562" t="s">
        <v>286</v>
      </c>
      <c r="B137" s="472" t="str">
        <f>COMPOSIÇÕES!A845</f>
        <v>CPU 126</v>
      </c>
      <c r="C137" s="473" t="str">
        <f>COMPOSIÇÕES!C845</f>
        <v>OLHAL PARA PARAFUSO</v>
      </c>
      <c r="D137" s="472" t="s">
        <v>62</v>
      </c>
      <c r="E137" s="472">
        <v>5</v>
      </c>
      <c r="F137" s="474">
        <f>COMPOSIÇÕES!G855</f>
        <v>42.29</v>
      </c>
      <c r="G137" s="475">
        <f t="shared" si="52"/>
        <v>51.68</v>
      </c>
      <c r="H137" s="560">
        <f t="shared" si="53"/>
        <v>258.39999999999998</v>
      </c>
      <c r="I137" s="550">
        <v>15</v>
      </c>
    </row>
    <row r="138" spans="1:9" x14ac:dyDescent="0.25">
      <c r="A138" s="562" t="s">
        <v>288</v>
      </c>
      <c r="B138" s="472" t="str">
        <f>COMPOSIÇÕES!A367</f>
        <v>CPU 101</v>
      </c>
      <c r="C138" s="473" t="str">
        <f>COMPOSIÇÕES!C367</f>
        <v xml:space="preserve">PERFIL U </v>
      </c>
      <c r="D138" s="472" t="s">
        <v>62</v>
      </c>
      <c r="E138" s="472">
        <v>1</v>
      </c>
      <c r="F138" s="474">
        <f>COMPOSIÇÕES!G377</f>
        <v>224.15</v>
      </c>
      <c r="G138" s="475">
        <f t="shared" si="52"/>
        <v>273.95999999999998</v>
      </c>
      <c r="H138" s="560">
        <f t="shared" si="53"/>
        <v>273.95999999999998</v>
      </c>
      <c r="I138" s="550">
        <v>3</v>
      </c>
    </row>
    <row r="139" spans="1:9" x14ac:dyDescent="0.25">
      <c r="A139" s="562" t="s">
        <v>292</v>
      </c>
      <c r="B139" s="472" t="str">
        <f>COMPOSIÇÕES!A487</f>
        <v>CPU 107</v>
      </c>
      <c r="C139" s="473" t="str">
        <f>COMPOSIÇÕES!C487</f>
        <v xml:space="preserve">PINO AUTO TRAVANTE  100 MM PARA ISOLADOR </v>
      </c>
      <c r="D139" s="472" t="s">
        <v>62</v>
      </c>
      <c r="E139" s="472">
        <v>3</v>
      </c>
      <c r="F139" s="474">
        <f>COMPOSIÇÕES!G497</f>
        <v>23.12</v>
      </c>
      <c r="G139" s="475">
        <f t="shared" si="52"/>
        <v>28.25</v>
      </c>
      <c r="H139" s="560">
        <f t="shared" si="53"/>
        <v>84.75</v>
      </c>
      <c r="I139" s="550">
        <v>9</v>
      </c>
    </row>
    <row r="140" spans="1:9" x14ac:dyDescent="0.25">
      <c r="A140" s="562" t="s">
        <v>1406</v>
      </c>
      <c r="B140" s="472" t="str">
        <f>COMPOSIÇÕES!A112</f>
        <v>CPU 86</v>
      </c>
      <c r="C140" s="473" t="str">
        <f>COMPOSIÇÕES!C112</f>
        <v>PORCA OLHAL EM ACO GALVANIZADO, ESPESSURA 16MM, ABERTURA 21MM</v>
      </c>
      <c r="D140" s="472" t="s">
        <v>62</v>
      </c>
      <c r="E140" s="472">
        <v>5</v>
      </c>
      <c r="F140" s="474">
        <f>COMPOSIÇÕES!G122</f>
        <v>20.7</v>
      </c>
      <c r="G140" s="475">
        <f t="shared" si="52"/>
        <v>25.3</v>
      </c>
      <c r="H140" s="560">
        <f t="shared" si="53"/>
        <v>126.5</v>
      </c>
      <c r="I140" s="550">
        <v>15</v>
      </c>
    </row>
    <row r="141" spans="1:9" x14ac:dyDescent="0.25">
      <c r="A141" s="563" t="s">
        <v>1407</v>
      </c>
      <c r="B141" s="536" t="str">
        <f>COMPOSIÇÕES!A430</f>
        <v>CPU 104</v>
      </c>
      <c r="C141" s="464" t="str">
        <f>COMPOSIÇÕES!C430</f>
        <v>ISOLADOR BASTÃO SUSPENSÃO POLIMÉRICO 15 KV</v>
      </c>
      <c r="D141" s="536" t="s">
        <v>62</v>
      </c>
      <c r="E141" s="536">
        <v>3</v>
      </c>
      <c r="F141" s="463">
        <f>COMPOSIÇÕES!D446</f>
        <v>54.43</v>
      </c>
      <c r="G141" s="459">
        <f t="shared" si="52"/>
        <v>66.52</v>
      </c>
      <c r="H141" s="514">
        <f t="shared" si="53"/>
        <v>199.56</v>
      </c>
      <c r="I141" s="550">
        <v>5</v>
      </c>
    </row>
    <row r="142" spans="1:9" x14ac:dyDescent="0.25">
      <c r="A142" s="563" t="s">
        <v>1408</v>
      </c>
      <c r="B142" s="536" t="str">
        <f>COMPOSIÇÕES!A472</f>
        <v>CPU 106</v>
      </c>
      <c r="C142" s="464" t="str">
        <f>COMPOSIÇÕES!C472</f>
        <v>ISOLADOR DE PORCELANA, TIPO PINO MONOCORPO, PARA TENSAO DE *15* KV</v>
      </c>
      <c r="D142" s="536" t="s">
        <v>62</v>
      </c>
      <c r="E142" s="536">
        <v>3</v>
      </c>
      <c r="F142" s="463">
        <f>COMPOSIÇÕES!G482</f>
        <v>36.36</v>
      </c>
      <c r="G142" s="459">
        <f t="shared" si="52"/>
        <v>44.44</v>
      </c>
      <c r="H142" s="514">
        <f t="shared" si="53"/>
        <v>133.32</v>
      </c>
      <c r="I142" s="550">
        <v>9</v>
      </c>
    </row>
    <row r="143" spans="1:9" x14ac:dyDescent="0.25">
      <c r="A143" s="563" t="s">
        <v>1409</v>
      </c>
      <c r="B143" s="536" t="str">
        <f>COMPOSIÇÕES!A1313</f>
        <v>CPU 152</v>
      </c>
      <c r="C143" s="464" t="str">
        <f>COMPOSIÇÕES!C1313</f>
        <v>BRAÇO TIPO C</v>
      </c>
      <c r="D143" s="536" t="s">
        <v>62</v>
      </c>
      <c r="E143" s="536">
        <v>2</v>
      </c>
      <c r="F143" s="463">
        <f>COMPOSIÇÕES!G1323</f>
        <v>226.79</v>
      </c>
      <c r="G143" s="459">
        <f t="shared" si="52"/>
        <v>277.19</v>
      </c>
      <c r="H143" s="514">
        <f t="shared" si="53"/>
        <v>554.38</v>
      </c>
      <c r="I143" s="550">
        <v>6</v>
      </c>
    </row>
    <row r="144" spans="1:9" x14ac:dyDescent="0.25">
      <c r="A144" s="563" t="s">
        <v>1410</v>
      </c>
      <c r="B144" s="536" t="str">
        <f>COMPOSIÇÕES!A1422</f>
        <v>CPU 157</v>
      </c>
      <c r="C144" s="464" t="str">
        <f>COMPOSIÇÕES!C1422</f>
        <v>CANTONEIRA AUXILIAR PARA BRAÇO TIPO C</v>
      </c>
      <c r="D144" s="536" t="s">
        <v>62</v>
      </c>
      <c r="E144" s="536">
        <v>1</v>
      </c>
      <c r="F144" s="463">
        <f>COMPOSIÇÕES!G1432</f>
        <v>103.58</v>
      </c>
      <c r="G144" s="459">
        <f t="shared" si="52"/>
        <v>126.6</v>
      </c>
      <c r="H144" s="514">
        <f t="shared" si="53"/>
        <v>126.6</v>
      </c>
      <c r="I144" s="550">
        <v>5</v>
      </c>
    </row>
    <row r="145" spans="1:10" x14ac:dyDescent="0.25">
      <c r="A145" s="563" t="s">
        <v>1411</v>
      </c>
      <c r="B145" s="536" t="str">
        <f>COMPOSIÇÕES!A283</f>
        <v>CPU 97</v>
      </c>
      <c r="C145" s="464" t="str">
        <f>COMPOSIÇÕES!C283</f>
        <v>ALÇA PREFORMADA ESTAI 2"</v>
      </c>
      <c r="D145" s="536" t="s">
        <v>62</v>
      </c>
      <c r="E145" s="536">
        <v>3</v>
      </c>
      <c r="F145" s="463">
        <f>COMPOSIÇÕES!G293</f>
        <v>13.17</v>
      </c>
      <c r="G145" s="459">
        <f t="shared" si="52"/>
        <v>16.09</v>
      </c>
      <c r="H145" s="514">
        <f t="shared" si="53"/>
        <v>48.27</v>
      </c>
      <c r="I145" s="550">
        <v>9</v>
      </c>
    </row>
    <row r="146" spans="1:10" x14ac:dyDescent="0.25">
      <c r="A146" s="563" t="s">
        <v>1516</v>
      </c>
      <c r="B146" s="536" t="str">
        <f>COMPOSIÇÕES!A1707</f>
        <v>CPU 176</v>
      </c>
      <c r="C146" s="464" t="str">
        <f>COMPOSIÇÕES!C1707</f>
        <v>FORNECIMENTO E INSTALAÇÃO POSTE CIRCULAR 10/600</v>
      </c>
      <c r="D146" s="536" t="s">
        <v>62</v>
      </c>
      <c r="E146" s="536">
        <v>1</v>
      </c>
      <c r="F146" s="463">
        <f>COMPOSIÇÕES!G1723</f>
        <v>4107.21</v>
      </c>
      <c r="G146" s="459">
        <f t="shared" si="52"/>
        <v>5020.08</v>
      </c>
      <c r="H146" s="514">
        <f t="shared" si="53"/>
        <v>5020.08</v>
      </c>
      <c r="I146" s="550">
        <v>3</v>
      </c>
    </row>
    <row r="147" spans="1:10" x14ac:dyDescent="0.25">
      <c r="A147" s="715" t="s">
        <v>778</v>
      </c>
      <c r="B147" s="716"/>
      <c r="C147" s="716"/>
      <c r="D147" s="716"/>
      <c r="E147" s="716"/>
      <c r="F147" s="716"/>
      <c r="G147" s="716"/>
      <c r="H147" s="557">
        <f>SUM(H131:H146)</f>
        <v>9041.07</v>
      </c>
    </row>
    <row r="148" spans="1:10" x14ac:dyDescent="0.25">
      <c r="A148" s="715"/>
      <c r="B148" s="716"/>
      <c r="C148" s="716"/>
      <c r="D148" s="716"/>
      <c r="E148" s="716"/>
      <c r="F148" s="716"/>
      <c r="G148" s="716"/>
      <c r="H148" s="733"/>
      <c r="J148" s="382"/>
    </row>
    <row r="149" spans="1:10" x14ac:dyDescent="0.25">
      <c r="A149" s="564" t="s">
        <v>296</v>
      </c>
      <c r="B149" s="482"/>
      <c r="C149" s="483" t="s">
        <v>1517</v>
      </c>
      <c r="D149" s="734"/>
      <c r="E149" s="734"/>
      <c r="F149" s="734"/>
      <c r="G149" s="734"/>
      <c r="H149" s="735"/>
      <c r="J149" s="382"/>
    </row>
    <row r="150" spans="1:10" x14ac:dyDescent="0.25">
      <c r="A150" s="563" t="s">
        <v>298</v>
      </c>
      <c r="B150" s="536" t="str">
        <f>COMPOSIÇÕES!A37</f>
        <v>CPU 81</v>
      </c>
      <c r="C150" s="464" t="str">
        <f>COMPOSIÇÕES!C37</f>
        <v>SAPATILHA EM ACO GALVANIZADO PARA CABOS COM DIAMETRO NOMINAL ATE 5/8"</v>
      </c>
      <c r="D150" s="536" t="s">
        <v>62</v>
      </c>
      <c r="E150" s="536">
        <v>3</v>
      </c>
      <c r="F150" s="536">
        <f>COMPOSIÇÕES!G47</f>
        <v>11.26</v>
      </c>
      <c r="G150" s="459">
        <f t="shared" ref="G150" si="54">TRUNC((F150*(1+$H$6))*(1+$H$4),2)</f>
        <v>13.76</v>
      </c>
      <c r="H150" s="514">
        <f t="shared" ref="H150" si="55">TRUNC(G150*E150,2)</f>
        <v>41.28</v>
      </c>
      <c r="J150" s="382"/>
    </row>
    <row r="151" spans="1:10" x14ac:dyDescent="0.25">
      <c r="A151" s="563" t="s">
        <v>300</v>
      </c>
      <c r="B151" s="536" t="str">
        <f>COMPOSIÇÕES!A867</f>
        <v>CPU 127</v>
      </c>
      <c r="C151" s="464" t="str">
        <f>COMPOSIÇÕES!C867</f>
        <v>CINTA CIRCULAR EM ACO GALVANIZADO DE 150 MM DE DIAMETRO PARA FIXACAO DE CAIXA MEDICAO, INCLUI PARAFUSOS E PORCAS</v>
      </c>
      <c r="D151" s="536" t="s">
        <v>62</v>
      </c>
      <c r="E151" s="536">
        <v>4</v>
      </c>
      <c r="F151" s="536">
        <f>COMPOSIÇÕES!G877</f>
        <v>40.019999999999996</v>
      </c>
      <c r="G151" s="459">
        <f t="shared" ref="G151:G163" si="56">TRUNC((F151*(1+$H$6))*(1+$H$4),2)</f>
        <v>48.91</v>
      </c>
      <c r="H151" s="514">
        <f t="shared" ref="H151:H163" si="57">TRUNC(G151*E151,2)</f>
        <v>195.64</v>
      </c>
      <c r="J151" s="382"/>
    </row>
    <row r="152" spans="1:10" x14ac:dyDescent="0.25">
      <c r="A152" s="563" t="s">
        <v>302</v>
      </c>
      <c r="B152" s="536" t="str">
        <f>COMPOSIÇÕES!A194</f>
        <v>CPU 91</v>
      </c>
      <c r="C152" s="464" t="str">
        <f>COMPOSIÇÕES!C194</f>
        <v>GANCHO OLHAL EM ACO GALVANIZADO, ESPESSURA 16MM, ABERTURA 21MM</v>
      </c>
      <c r="D152" s="536" t="s">
        <v>62</v>
      </c>
      <c r="E152" s="536">
        <v>7</v>
      </c>
      <c r="F152" s="536">
        <f>COMPOSIÇÕES!G204</f>
        <v>25.740000000000002</v>
      </c>
      <c r="G152" s="459">
        <f t="shared" si="56"/>
        <v>31.46</v>
      </c>
      <c r="H152" s="514">
        <f t="shared" si="57"/>
        <v>220.22</v>
      </c>
      <c r="J152" s="382"/>
    </row>
    <row r="153" spans="1:10" x14ac:dyDescent="0.25">
      <c r="A153" s="563" t="s">
        <v>304</v>
      </c>
      <c r="B153" s="536" t="str">
        <f>COMPOSIÇÕES!A388</f>
        <v>CPU 102</v>
      </c>
      <c r="C153" s="464" t="str">
        <f>COMPOSIÇÕES!C388</f>
        <v>FIXADOR DE PERFIL U - EST. CUF3</v>
      </c>
      <c r="D153" s="536" t="s">
        <v>62</v>
      </c>
      <c r="E153" s="536">
        <v>6</v>
      </c>
      <c r="F153" s="536">
        <f>COMPOSIÇÕES!G398</f>
        <v>39.44</v>
      </c>
      <c r="G153" s="459">
        <f t="shared" si="56"/>
        <v>48.2</v>
      </c>
      <c r="H153" s="514">
        <f t="shared" si="57"/>
        <v>289.2</v>
      </c>
      <c r="J153" s="382"/>
    </row>
    <row r="154" spans="1:10" x14ac:dyDescent="0.25">
      <c r="A154" s="563" t="s">
        <v>306</v>
      </c>
      <c r="B154" s="536" t="str">
        <f>COMPOSIÇÕES!A409</f>
        <v>CPU 103</v>
      </c>
      <c r="C154" s="464" t="str">
        <f>COMPOSIÇÕES!C409</f>
        <v>MANILHA SAPATILHA</v>
      </c>
      <c r="D154" s="536" t="s">
        <v>62</v>
      </c>
      <c r="E154" s="536">
        <v>2</v>
      </c>
      <c r="F154" s="536">
        <f>COMPOSIÇÕES!D425</f>
        <v>21.63</v>
      </c>
      <c r="G154" s="459">
        <f t="shared" si="56"/>
        <v>26.43</v>
      </c>
      <c r="H154" s="514">
        <f t="shared" si="57"/>
        <v>52.86</v>
      </c>
      <c r="J154" s="382"/>
    </row>
    <row r="155" spans="1:10" x14ac:dyDescent="0.25">
      <c r="A155" s="563" t="s">
        <v>308</v>
      </c>
      <c r="B155" s="536" t="str">
        <f>COMPOSIÇÕES!A845</f>
        <v>CPU 126</v>
      </c>
      <c r="C155" s="464" t="str">
        <f>COMPOSIÇÕES!C845</f>
        <v>OLHAL PARA PARAFUSO</v>
      </c>
      <c r="D155" s="536" t="s">
        <v>62</v>
      </c>
      <c r="E155" s="536">
        <v>6</v>
      </c>
      <c r="F155" s="536">
        <f>COMPOSIÇÕES!G855</f>
        <v>42.29</v>
      </c>
      <c r="G155" s="459">
        <f t="shared" si="56"/>
        <v>51.68</v>
      </c>
      <c r="H155" s="514">
        <f t="shared" si="57"/>
        <v>310.08</v>
      </c>
      <c r="J155" s="382"/>
    </row>
    <row r="156" spans="1:10" x14ac:dyDescent="0.25">
      <c r="A156" s="563" t="s">
        <v>310</v>
      </c>
      <c r="B156" s="536" t="str">
        <f>COMPOSIÇÕES!A661</f>
        <v>CPU 117</v>
      </c>
      <c r="C156" s="464" t="str">
        <f>COMPOSIÇÕES!C661</f>
        <v>PARAFUSO FRANCES M16 EM ACO GALVANIZADO, COMPRIMENTO = 45 MM, DIAMETRO = 16MM, CABECA ABAULADA</v>
      </c>
      <c r="D156" s="536" t="s">
        <v>62</v>
      </c>
      <c r="E156" s="536">
        <v>8</v>
      </c>
      <c r="F156" s="536">
        <f>COMPOSIÇÕES!G671</f>
        <v>8.9600000000000009</v>
      </c>
      <c r="G156" s="459">
        <f t="shared" si="56"/>
        <v>10.95</v>
      </c>
      <c r="H156" s="514">
        <f t="shared" si="57"/>
        <v>87.6</v>
      </c>
      <c r="J156" s="382"/>
    </row>
    <row r="157" spans="1:10" x14ac:dyDescent="0.25">
      <c r="A157" s="563" t="s">
        <v>312</v>
      </c>
      <c r="B157" s="536" t="str">
        <f>COMPOSIÇÕES!A1437</f>
        <v>CPU 158</v>
      </c>
      <c r="C157" s="464" t="str">
        <f>COMPOSIÇÕES!C1437</f>
        <v>PARAFUSO ZINCADO, SEXTAVADO, COM ROSCA INTEIRA, DIAMETRO 5/8''</v>
      </c>
      <c r="D157" s="536" t="s">
        <v>62</v>
      </c>
      <c r="E157" s="536">
        <v>11</v>
      </c>
      <c r="F157" s="536">
        <f>COMPOSIÇÕES!G1447</f>
        <v>14.61</v>
      </c>
      <c r="G157" s="459">
        <f t="shared" si="56"/>
        <v>17.850000000000001</v>
      </c>
      <c r="H157" s="514">
        <f t="shared" si="57"/>
        <v>196.35</v>
      </c>
      <c r="J157" s="382"/>
    </row>
    <row r="158" spans="1:10" x14ac:dyDescent="0.25">
      <c r="A158" s="563" t="s">
        <v>621</v>
      </c>
      <c r="B158" s="536" t="str">
        <f>COMPOSIÇÕES!A367</f>
        <v>CPU 101</v>
      </c>
      <c r="C158" s="464" t="str">
        <f>COMPOSIÇÕES!C367</f>
        <v xml:space="preserve">PERFIL U </v>
      </c>
      <c r="D158" s="536" t="s">
        <v>62</v>
      </c>
      <c r="E158" s="536">
        <v>4</v>
      </c>
      <c r="F158" s="536">
        <f>COMPOSIÇÕES!G377</f>
        <v>224.15</v>
      </c>
      <c r="G158" s="459">
        <f t="shared" si="56"/>
        <v>273.95999999999998</v>
      </c>
      <c r="H158" s="514">
        <f t="shared" si="57"/>
        <v>1095.8399999999999</v>
      </c>
      <c r="J158" s="382"/>
    </row>
    <row r="159" spans="1:10" x14ac:dyDescent="0.25">
      <c r="A159" s="563" t="s">
        <v>1518</v>
      </c>
      <c r="B159" s="536" t="str">
        <f>COMPOSIÇÕES!A487</f>
        <v>CPU 107</v>
      </c>
      <c r="C159" s="464" t="str">
        <f>COMPOSIÇÕES!C487</f>
        <v xml:space="preserve">PINO AUTO TRAVANTE  100 MM PARA ISOLADOR </v>
      </c>
      <c r="D159" s="536" t="s">
        <v>62</v>
      </c>
      <c r="E159" s="536">
        <v>4</v>
      </c>
      <c r="F159" s="536">
        <f>COMPOSIÇÕES!G497</f>
        <v>23.12</v>
      </c>
      <c r="G159" s="459">
        <f t="shared" si="56"/>
        <v>28.25</v>
      </c>
      <c r="H159" s="514">
        <f t="shared" si="57"/>
        <v>113</v>
      </c>
      <c r="J159" s="382"/>
    </row>
    <row r="160" spans="1:10" x14ac:dyDescent="0.25">
      <c r="A160" s="563" t="s">
        <v>1519</v>
      </c>
      <c r="B160" s="536" t="str">
        <f>COMPOSIÇÕES!A112</f>
        <v>CPU 86</v>
      </c>
      <c r="C160" s="464" t="str">
        <f>COMPOSIÇÕES!C112</f>
        <v>PORCA OLHAL EM ACO GALVANIZADO, ESPESSURA 16MM, ABERTURA 21MM</v>
      </c>
      <c r="D160" s="536" t="s">
        <v>62</v>
      </c>
      <c r="E160" s="536">
        <v>1</v>
      </c>
      <c r="F160" s="536">
        <f>COMPOSIÇÕES!G122</f>
        <v>20.7</v>
      </c>
      <c r="G160" s="459">
        <f t="shared" si="56"/>
        <v>25.3</v>
      </c>
      <c r="H160" s="514">
        <f t="shared" si="57"/>
        <v>25.3</v>
      </c>
      <c r="J160" s="382"/>
    </row>
    <row r="161" spans="1:10" x14ac:dyDescent="0.25">
      <c r="A161" s="563" t="s">
        <v>1520</v>
      </c>
      <c r="B161" s="536" t="str">
        <f>COMPOSIÇÕES!A430</f>
        <v>CPU 104</v>
      </c>
      <c r="C161" s="464" t="str">
        <f>COMPOSIÇÕES!C430</f>
        <v>ISOLADOR BASTÃO SUSPENSÃO POLIMÉRICO 15 KV</v>
      </c>
      <c r="D161" s="536" t="s">
        <v>62</v>
      </c>
      <c r="E161" s="536">
        <v>8</v>
      </c>
      <c r="F161" s="536">
        <f>COMPOSIÇÕES!D446</f>
        <v>54.43</v>
      </c>
      <c r="G161" s="459">
        <f t="shared" si="56"/>
        <v>66.52</v>
      </c>
      <c r="H161" s="514">
        <f t="shared" si="57"/>
        <v>532.16</v>
      </c>
      <c r="J161" s="382"/>
    </row>
    <row r="162" spans="1:10" x14ac:dyDescent="0.25">
      <c r="A162" s="563" t="s">
        <v>1521</v>
      </c>
      <c r="B162" s="536" t="str">
        <f>COMPOSIÇÕES!A472</f>
        <v>CPU 106</v>
      </c>
      <c r="C162" s="464" t="str">
        <f>COMPOSIÇÕES!C472</f>
        <v>ISOLADOR DE PORCELANA, TIPO PINO MONOCORPO, PARA TENSAO DE *15* KV</v>
      </c>
      <c r="D162" s="536" t="s">
        <v>62</v>
      </c>
      <c r="E162" s="536">
        <v>6</v>
      </c>
      <c r="F162" s="536">
        <f>COMPOSIÇÕES!G482</f>
        <v>36.36</v>
      </c>
      <c r="G162" s="459">
        <f t="shared" si="56"/>
        <v>44.44</v>
      </c>
      <c r="H162" s="514">
        <f t="shared" si="57"/>
        <v>266.64</v>
      </c>
      <c r="J162" s="382"/>
    </row>
    <row r="163" spans="1:10" x14ac:dyDescent="0.25">
      <c r="A163" s="563" t="s">
        <v>1522</v>
      </c>
      <c r="B163" s="536" t="str">
        <f>COMPOSIÇÕES!A283</f>
        <v>CPU 97</v>
      </c>
      <c r="C163" s="464" t="str">
        <f>COMPOSIÇÕES!C283</f>
        <v>ALÇA PREFORMADA ESTAI 2"</v>
      </c>
      <c r="D163" s="536" t="s">
        <v>62</v>
      </c>
      <c r="E163" s="536">
        <v>2</v>
      </c>
      <c r="F163" s="536">
        <f>COMPOSIÇÕES!G293</f>
        <v>13.17</v>
      </c>
      <c r="G163" s="459">
        <f t="shared" si="56"/>
        <v>16.09</v>
      </c>
      <c r="H163" s="514">
        <f t="shared" si="57"/>
        <v>32.18</v>
      </c>
      <c r="J163" s="382"/>
    </row>
    <row r="164" spans="1:10" x14ac:dyDescent="0.25">
      <c r="A164" s="563" t="s">
        <v>1523</v>
      </c>
      <c r="B164" s="536" t="str">
        <f>COMPOSIÇÕES!A1707</f>
        <v>CPU 176</v>
      </c>
      <c r="C164" s="464" t="str">
        <f>COMPOSIÇÕES!C1707</f>
        <v>FORNECIMENTO E INSTALAÇÃO POSTE CIRCULAR 10/600</v>
      </c>
      <c r="D164" s="536" t="s">
        <v>62</v>
      </c>
      <c r="E164" s="536">
        <v>1</v>
      </c>
      <c r="F164" s="536">
        <f>COMPOSIÇÕES!G1723</f>
        <v>4107.21</v>
      </c>
      <c r="G164" s="459">
        <f t="shared" ref="G164" si="58">TRUNC((F164*(1+$H$6))*(1+$H$4),2)</f>
        <v>5020.08</v>
      </c>
      <c r="H164" s="514">
        <f t="shared" ref="H164" si="59">TRUNC(G164*E164,2)</f>
        <v>5020.08</v>
      </c>
      <c r="J164" s="382"/>
    </row>
    <row r="165" spans="1:10" x14ac:dyDescent="0.25">
      <c r="A165" s="563" t="s">
        <v>1647</v>
      </c>
      <c r="B165" s="536" t="str">
        <f>COMPOSIÇÕES!A1043</f>
        <v>CPU 138</v>
      </c>
      <c r="C165" s="464" t="str">
        <f>COMPOSIÇÕES!C1043</f>
        <v>FORNECIMENTO E INSTALAÇÃO POSTE CIRCULAR 11/600</v>
      </c>
      <c r="D165" s="536" t="s">
        <v>62</v>
      </c>
      <c r="E165" s="536">
        <v>2</v>
      </c>
      <c r="F165" s="536">
        <f>COMPOSIÇÕES!G1059</f>
        <v>3927.83</v>
      </c>
      <c r="G165" s="459">
        <f t="shared" ref="G165:G199" si="60">TRUNC((F165*(1+$H$6))*(1+$H$4),2)</f>
        <v>4800.83</v>
      </c>
      <c r="H165" s="514">
        <f t="shared" ref="H165:H199" si="61">TRUNC(G165*E165,2)</f>
        <v>9601.66</v>
      </c>
      <c r="J165" s="382"/>
    </row>
    <row r="166" spans="1:10" x14ac:dyDescent="0.25">
      <c r="A166" s="715" t="s">
        <v>778</v>
      </c>
      <c r="B166" s="716"/>
      <c r="C166" s="716"/>
      <c r="D166" s="716"/>
      <c r="E166" s="716"/>
      <c r="F166" s="716"/>
      <c r="G166" s="716"/>
      <c r="H166" s="557">
        <f>SUM(H150:H165)</f>
        <v>18080.09</v>
      </c>
      <c r="J166" s="382"/>
    </row>
    <row r="167" spans="1:10" x14ac:dyDescent="0.25">
      <c r="A167" s="715"/>
      <c r="B167" s="716"/>
      <c r="C167" s="716"/>
      <c r="D167" s="716"/>
      <c r="E167" s="716"/>
      <c r="F167" s="716"/>
      <c r="G167" s="716"/>
      <c r="H167" s="733"/>
      <c r="J167" s="382"/>
    </row>
    <row r="168" spans="1:10" x14ac:dyDescent="0.25">
      <c r="A168" s="564" t="s">
        <v>314</v>
      </c>
      <c r="B168" s="482"/>
      <c r="C168" s="483" t="s">
        <v>1540</v>
      </c>
      <c r="D168" s="734"/>
      <c r="E168" s="734"/>
      <c r="F168" s="734"/>
      <c r="G168" s="734"/>
      <c r="H168" s="735"/>
      <c r="J168" s="382"/>
    </row>
    <row r="169" spans="1:10" x14ac:dyDescent="0.25">
      <c r="A169" s="562" t="s">
        <v>316</v>
      </c>
      <c r="B169" s="523" t="str">
        <f>COMPOSIÇÕES!A1566</f>
        <v>CPU 166</v>
      </c>
      <c r="C169" s="484" t="str">
        <f>COMPOSIÇÕES!C1566</f>
        <v>VERGALHAO ZINCADO ROSCA TOTAL, 1/4 " (6,3 MM) - FORNECIMENTO E INSTALAÇÃO</v>
      </c>
      <c r="D169" s="472" t="s">
        <v>275</v>
      </c>
      <c r="E169" s="472">
        <v>30</v>
      </c>
      <c r="F169" s="472">
        <f>COMPOSIÇÕES!G1576</f>
        <v>17.8</v>
      </c>
      <c r="G169" s="475">
        <f t="shared" si="60"/>
        <v>21.75</v>
      </c>
      <c r="H169" s="560">
        <f t="shared" si="61"/>
        <v>652.5</v>
      </c>
      <c r="J169" s="382"/>
    </row>
    <row r="170" spans="1:10" x14ac:dyDescent="0.25">
      <c r="A170" s="562" t="s">
        <v>320</v>
      </c>
      <c r="B170" s="523">
        <v>96977</v>
      </c>
      <c r="C170" s="484" t="s">
        <v>1544</v>
      </c>
      <c r="D170" s="472" t="s">
        <v>275</v>
      </c>
      <c r="E170" s="472">
        <v>70</v>
      </c>
      <c r="F170" s="472">
        <v>55.32</v>
      </c>
      <c r="G170" s="475">
        <f t="shared" si="60"/>
        <v>67.61</v>
      </c>
      <c r="H170" s="560">
        <f t="shared" si="61"/>
        <v>4732.7</v>
      </c>
      <c r="J170" s="382"/>
    </row>
    <row r="171" spans="1:10" x14ac:dyDescent="0.25">
      <c r="A171" s="562" t="s">
        <v>324</v>
      </c>
      <c r="B171" s="523" t="str">
        <f>COMPOSIÇÕES!A1580</f>
        <v>CPU 167</v>
      </c>
      <c r="C171" s="526" t="str">
        <f>COMPOSIÇÕES!C1580</f>
        <v>TERMINAL A COMPRESSAO EM COBRE ESTANHADO PARA CABO 50 MM2, 1 FURO E 1 COMPRESSAO, PARA PARAFUSO DE FIXACAO M8</v>
      </c>
      <c r="D171" s="472" t="s">
        <v>62</v>
      </c>
      <c r="E171" s="472">
        <v>6</v>
      </c>
      <c r="F171" s="472">
        <f>COMPOSIÇÕES!G1590</f>
        <v>7.45</v>
      </c>
      <c r="G171" s="475">
        <f t="shared" si="60"/>
        <v>9.1</v>
      </c>
      <c r="H171" s="560">
        <f t="shared" si="61"/>
        <v>54.6</v>
      </c>
      <c r="J171" s="382"/>
    </row>
    <row r="172" spans="1:10" x14ac:dyDescent="0.25">
      <c r="A172" s="563" t="s">
        <v>328</v>
      </c>
      <c r="B172" s="524" t="str">
        <f>COMPOSIÇÕES!A1594</f>
        <v>CPU 168</v>
      </c>
      <c r="C172" s="527" t="str">
        <f>COMPOSIÇÕES!C1602</f>
        <v>ISOLADOR DE PORCELANA, TIPO BUCHA, PARA TENSAO DE *15* KV - FORNECIMENTO E INSTALAÇÃO</v>
      </c>
      <c r="D172" s="536" t="s">
        <v>62</v>
      </c>
      <c r="E172" s="536">
        <v>12</v>
      </c>
      <c r="F172" s="536">
        <f>COMPOSIÇÕES!G1604</f>
        <v>518.91999999999996</v>
      </c>
      <c r="G172" s="459">
        <f t="shared" si="60"/>
        <v>634.25</v>
      </c>
      <c r="H172" s="514">
        <f t="shared" si="61"/>
        <v>7611</v>
      </c>
      <c r="J172" s="382"/>
    </row>
    <row r="173" spans="1:10" x14ac:dyDescent="0.25">
      <c r="A173" s="562" t="s">
        <v>332</v>
      </c>
      <c r="B173" s="523" t="str">
        <f>COMPOSIÇÕES!A430</f>
        <v>CPU 104</v>
      </c>
      <c r="C173" s="484" t="str">
        <f>COMPOSIÇÕES!C430</f>
        <v>ISOLADOR BASTÃO SUSPENSÃO POLIMÉRICO 15 KV</v>
      </c>
      <c r="D173" s="472" t="s">
        <v>62</v>
      </c>
      <c r="E173" s="472">
        <v>3</v>
      </c>
      <c r="F173" s="472">
        <f>COMPOSIÇÕES!D446</f>
        <v>54.43</v>
      </c>
      <c r="G173" s="475">
        <f t="shared" ref="G173" si="62">TRUNC((F173*(1+$H$6))*(1+$H$4),2)</f>
        <v>66.52</v>
      </c>
      <c r="H173" s="560">
        <f t="shared" ref="H173" si="63">TRUNC(G173*E173,2)</f>
        <v>199.56</v>
      </c>
      <c r="J173" s="382"/>
    </row>
    <row r="174" spans="1:10" x14ac:dyDescent="0.25">
      <c r="A174" s="562" t="s">
        <v>336</v>
      </c>
      <c r="B174" s="523">
        <v>95728</v>
      </c>
      <c r="C174" s="526" t="s">
        <v>1575</v>
      </c>
      <c r="D174" s="472" t="s">
        <v>275</v>
      </c>
      <c r="E174" s="472">
        <v>6</v>
      </c>
      <c r="F174" s="472">
        <v>9.3000000000000007</v>
      </c>
      <c r="G174" s="475">
        <f t="shared" ref="G174" si="64">TRUNC((F174*(1+$H$6))*(1+$H$4),2)</f>
        <v>11.36</v>
      </c>
      <c r="H174" s="560">
        <f t="shared" ref="H174" si="65">TRUNC(G174*E174,2)</f>
        <v>68.16</v>
      </c>
      <c r="J174" s="382"/>
    </row>
    <row r="175" spans="1:10" ht="30" x14ac:dyDescent="0.25">
      <c r="A175" s="562" t="s">
        <v>730</v>
      </c>
      <c r="B175" s="523">
        <v>101749</v>
      </c>
      <c r="C175" s="484" t="s">
        <v>1576</v>
      </c>
      <c r="D175" s="472" t="s">
        <v>512</v>
      </c>
      <c r="E175" s="472">
        <v>8</v>
      </c>
      <c r="F175" s="472">
        <v>54.09</v>
      </c>
      <c r="G175" s="475">
        <f t="shared" ref="G175" si="66">TRUNC((F175*(1+$H$6))*(1+$H$4),2)</f>
        <v>66.11</v>
      </c>
      <c r="H175" s="560">
        <f t="shared" ref="H175" si="67">TRUNC(G175*E175,2)</f>
        <v>528.88</v>
      </c>
      <c r="J175" s="382"/>
    </row>
    <row r="176" spans="1:10" ht="30" x14ac:dyDescent="0.25">
      <c r="A176" s="562" t="s">
        <v>732</v>
      </c>
      <c r="B176" s="523">
        <v>97083</v>
      </c>
      <c r="C176" s="484" t="s">
        <v>1577</v>
      </c>
      <c r="D176" s="472" t="s">
        <v>512</v>
      </c>
      <c r="E176" s="472">
        <v>8</v>
      </c>
      <c r="F176" s="472">
        <v>2.78</v>
      </c>
      <c r="G176" s="475">
        <f t="shared" ref="G176:G177" si="68">TRUNC((F176*(1+$H$6))*(1+$H$4),2)</f>
        <v>3.39</v>
      </c>
      <c r="H176" s="560">
        <f t="shared" ref="H176:H177" si="69">TRUNC(G176*E176,2)</f>
        <v>27.12</v>
      </c>
      <c r="J176" s="382"/>
    </row>
    <row r="177" spans="1:10" x14ac:dyDescent="0.25">
      <c r="A177" s="562" t="s">
        <v>733</v>
      </c>
      <c r="B177" s="523">
        <v>92268</v>
      </c>
      <c r="C177" s="484" t="s">
        <v>1578</v>
      </c>
      <c r="D177" s="472" t="s">
        <v>512</v>
      </c>
      <c r="E177" s="472">
        <f>3.4*4.4</f>
        <v>14.96</v>
      </c>
      <c r="F177" s="472">
        <v>128.37</v>
      </c>
      <c r="G177" s="475">
        <f t="shared" si="68"/>
        <v>156.9</v>
      </c>
      <c r="H177" s="560">
        <f t="shared" si="69"/>
        <v>2347.2199999999998</v>
      </c>
      <c r="J177" s="382"/>
    </row>
    <row r="178" spans="1:10" ht="30" x14ac:dyDescent="0.25">
      <c r="A178" s="562" t="s">
        <v>734</v>
      </c>
      <c r="B178" s="523">
        <v>92769</v>
      </c>
      <c r="C178" s="484" t="s">
        <v>1579</v>
      </c>
      <c r="D178" s="472" t="s">
        <v>221</v>
      </c>
      <c r="E178" s="472">
        <v>147</v>
      </c>
      <c r="F178" s="472">
        <v>16.920000000000002</v>
      </c>
      <c r="G178" s="475">
        <f t="shared" ref="G178:G191" si="70">TRUNC((F178*(1+$H$6))*(1+$H$4),2)</f>
        <v>20.68</v>
      </c>
      <c r="H178" s="560">
        <f t="shared" ref="H178:H191" si="71">TRUNC(G178*E178,2)</f>
        <v>3039.96</v>
      </c>
      <c r="J178" s="382"/>
    </row>
    <row r="179" spans="1:10" ht="30" x14ac:dyDescent="0.25">
      <c r="A179" s="562" t="s">
        <v>1526</v>
      </c>
      <c r="B179" s="523">
        <v>92761</v>
      </c>
      <c r="C179" s="484" t="s">
        <v>1581</v>
      </c>
      <c r="D179" s="472" t="s">
        <v>221</v>
      </c>
      <c r="E179" s="472">
        <f>45.6+18.23</f>
        <v>63.83</v>
      </c>
      <c r="F179" s="472">
        <v>16.91</v>
      </c>
      <c r="G179" s="475">
        <f t="shared" si="70"/>
        <v>20.66</v>
      </c>
      <c r="H179" s="560">
        <f t="shared" si="71"/>
        <v>1318.72</v>
      </c>
      <c r="J179" s="382"/>
    </row>
    <row r="180" spans="1:10" ht="30" x14ac:dyDescent="0.25">
      <c r="A180" s="562" t="s">
        <v>1527</v>
      </c>
      <c r="B180" s="523">
        <v>103329</v>
      </c>
      <c r="C180" s="484" t="s">
        <v>1591</v>
      </c>
      <c r="D180" s="472" t="s">
        <v>512</v>
      </c>
      <c r="E180" s="472">
        <v>61.29</v>
      </c>
      <c r="F180" s="472">
        <v>90.34</v>
      </c>
      <c r="G180" s="475">
        <f t="shared" si="70"/>
        <v>110.41</v>
      </c>
      <c r="H180" s="560">
        <f t="shared" si="71"/>
        <v>6767.02</v>
      </c>
      <c r="J180" s="382"/>
    </row>
    <row r="181" spans="1:10" ht="30" x14ac:dyDescent="0.25">
      <c r="A181" s="562" t="s">
        <v>1584</v>
      </c>
      <c r="B181" s="523">
        <v>87904</v>
      </c>
      <c r="C181" s="484" t="s">
        <v>1592</v>
      </c>
      <c r="D181" s="472" t="s">
        <v>512</v>
      </c>
      <c r="E181" s="472">
        <v>122.58</v>
      </c>
      <c r="F181" s="472">
        <v>8.58</v>
      </c>
      <c r="G181" s="475">
        <f t="shared" si="70"/>
        <v>10.48</v>
      </c>
      <c r="H181" s="560">
        <f t="shared" si="71"/>
        <v>1284.6300000000001</v>
      </c>
      <c r="J181" s="382"/>
    </row>
    <row r="182" spans="1:10" ht="30" x14ac:dyDescent="0.25">
      <c r="A182" s="562" t="s">
        <v>1585</v>
      </c>
      <c r="B182" s="523">
        <v>87779</v>
      </c>
      <c r="C182" s="484" t="s">
        <v>1594</v>
      </c>
      <c r="D182" s="472" t="s">
        <v>512</v>
      </c>
      <c r="E182" s="472">
        <v>122.58</v>
      </c>
      <c r="F182" s="472">
        <v>61.74</v>
      </c>
      <c r="G182" s="475">
        <f t="shared" si="70"/>
        <v>75.459999999999994</v>
      </c>
      <c r="H182" s="560">
        <f t="shared" si="71"/>
        <v>9249.8799999999992</v>
      </c>
      <c r="J182" s="382"/>
    </row>
    <row r="183" spans="1:10" x14ac:dyDescent="0.25">
      <c r="A183" s="562" t="s">
        <v>1528</v>
      </c>
      <c r="B183" s="523">
        <v>88489</v>
      </c>
      <c r="C183" s="484" t="s">
        <v>1398</v>
      </c>
      <c r="D183" s="472" t="s">
        <v>512</v>
      </c>
      <c r="E183" s="472">
        <v>122.58</v>
      </c>
      <c r="F183" s="472">
        <v>14.28</v>
      </c>
      <c r="G183" s="475">
        <f t="shared" si="70"/>
        <v>17.45</v>
      </c>
      <c r="H183" s="560">
        <f t="shared" si="71"/>
        <v>2139.02</v>
      </c>
      <c r="J183" s="382"/>
    </row>
    <row r="184" spans="1:10" x14ac:dyDescent="0.25">
      <c r="A184" s="562" t="s">
        <v>1529</v>
      </c>
      <c r="B184" s="523">
        <v>88488</v>
      </c>
      <c r="C184" s="484" t="s">
        <v>1593</v>
      </c>
      <c r="D184" s="472" t="s">
        <v>512</v>
      </c>
      <c r="E184" s="472">
        <f>14.96*2</f>
        <v>29.92</v>
      </c>
      <c r="F184" s="472">
        <v>15.98</v>
      </c>
      <c r="G184" s="475">
        <f t="shared" si="70"/>
        <v>19.53</v>
      </c>
      <c r="H184" s="560">
        <f t="shared" si="71"/>
        <v>584.33000000000004</v>
      </c>
      <c r="J184" s="382"/>
    </row>
    <row r="185" spans="1:10" x14ac:dyDescent="0.25">
      <c r="A185" s="562" t="s">
        <v>1586</v>
      </c>
      <c r="B185" s="524">
        <v>97090</v>
      </c>
      <c r="C185" s="527" t="s">
        <v>1595</v>
      </c>
      <c r="D185" s="536" t="s">
        <v>221</v>
      </c>
      <c r="E185" s="536">
        <v>33</v>
      </c>
      <c r="F185" s="536">
        <v>24.46</v>
      </c>
      <c r="G185" s="459">
        <f t="shared" si="70"/>
        <v>29.89</v>
      </c>
      <c r="H185" s="560">
        <f t="shared" si="71"/>
        <v>986.37</v>
      </c>
      <c r="J185" s="382"/>
    </row>
    <row r="186" spans="1:10" ht="30" x14ac:dyDescent="0.25">
      <c r="A186" s="562" t="s">
        <v>1530</v>
      </c>
      <c r="B186" s="524">
        <v>97096</v>
      </c>
      <c r="C186" s="527" t="s">
        <v>1596</v>
      </c>
      <c r="D186" s="536" t="s">
        <v>528</v>
      </c>
      <c r="E186" s="536">
        <v>0.32</v>
      </c>
      <c r="F186" s="536">
        <v>716.41</v>
      </c>
      <c r="G186" s="459">
        <f t="shared" si="70"/>
        <v>875.64</v>
      </c>
      <c r="H186" s="560">
        <f t="shared" si="71"/>
        <v>280.2</v>
      </c>
      <c r="J186" s="382"/>
    </row>
    <row r="187" spans="1:10" x14ac:dyDescent="0.25">
      <c r="A187" s="562" t="s">
        <v>1531</v>
      </c>
      <c r="B187" s="524">
        <v>103669</v>
      </c>
      <c r="C187" s="528" t="s">
        <v>1597</v>
      </c>
      <c r="D187" s="536" t="s">
        <v>528</v>
      </c>
      <c r="E187" s="536">
        <v>0.86</v>
      </c>
      <c r="F187" s="536">
        <v>992.95</v>
      </c>
      <c r="G187" s="459">
        <f t="shared" si="70"/>
        <v>1213.6400000000001</v>
      </c>
      <c r="H187" s="560">
        <f t="shared" si="71"/>
        <v>1043.73</v>
      </c>
      <c r="J187" s="382"/>
    </row>
    <row r="188" spans="1:10" ht="30" x14ac:dyDescent="0.25">
      <c r="A188" s="562" t="s">
        <v>1532</v>
      </c>
      <c r="B188" s="524">
        <v>103682</v>
      </c>
      <c r="C188" s="527" t="s">
        <v>1598</v>
      </c>
      <c r="D188" s="536" t="s">
        <v>528</v>
      </c>
      <c r="E188" s="536">
        <v>1.5</v>
      </c>
      <c r="F188" s="536">
        <v>1007.3</v>
      </c>
      <c r="G188" s="459">
        <f t="shared" si="70"/>
        <v>1231.18</v>
      </c>
      <c r="H188" s="560">
        <f t="shared" si="71"/>
        <v>1846.77</v>
      </c>
      <c r="J188" s="382"/>
    </row>
    <row r="189" spans="1:10" x14ac:dyDescent="0.25">
      <c r="A189" s="562" t="s">
        <v>1533</v>
      </c>
      <c r="B189" s="523">
        <v>92269</v>
      </c>
      <c r="C189" s="484" t="s">
        <v>1582</v>
      </c>
      <c r="D189" s="472" t="s">
        <v>512</v>
      </c>
      <c r="E189" s="472">
        <v>15</v>
      </c>
      <c r="F189" s="472">
        <v>206.53</v>
      </c>
      <c r="G189" s="475">
        <f t="shared" si="70"/>
        <v>252.43</v>
      </c>
      <c r="H189" s="560">
        <f t="shared" si="71"/>
        <v>3786.45</v>
      </c>
      <c r="J189" s="382"/>
    </row>
    <row r="190" spans="1:10" x14ac:dyDescent="0.25">
      <c r="A190" s="562" t="s">
        <v>1587</v>
      </c>
      <c r="B190" s="523">
        <v>97082</v>
      </c>
      <c r="C190" s="484" t="s">
        <v>1583</v>
      </c>
      <c r="D190" s="472" t="s">
        <v>528</v>
      </c>
      <c r="E190" s="472">
        <f>2.1*3.8*0.04</f>
        <v>0.31919999999999998</v>
      </c>
      <c r="F190" s="472">
        <v>51.74</v>
      </c>
      <c r="G190" s="475">
        <f t="shared" si="70"/>
        <v>63.23</v>
      </c>
      <c r="H190" s="560">
        <f t="shared" si="71"/>
        <v>20.18</v>
      </c>
      <c r="J190" s="382"/>
    </row>
    <row r="191" spans="1:10" x14ac:dyDescent="0.25">
      <c r="A191" s="562" t="s">
        <v>1534</v>
      </c>
      <c r="B191" s="523">
        <v>103670</v>
      </c>
      <c r="C191" s="484" t="s">
        <v>1599</v>
      </c>
      <c r="D191" s="472" t="s">
        <v>528</v>
      </c>
      <c r="E191" s="472">
        <f>SUM(E186,E187,E188)</f>
        <v>2.6799999999999997</v>
      </c>
      <c r="F191" s="472">
        <v>243.37</v>
      </c>
      <c r="G191" s="475">
        <f t="shared" si="70"/>
        <v>297.45999999999998</v>
      </c>
      <c r="H191" s="560">
        <f t="shared" si="71"/>
        <v>797.19</v>
      </c>
      <c r="J191" s="382"/>
    </row>
    <row r="192" spans="1:10" x14ac:dyDescent="0.25">
      <c r="A192" s="562" t="s">
        <v>1588</v>
      </c>
      <c r="B192" s="523" t="str">
        <f>COMPOSIÇÕES!A1608</f>
        <v>CPU 169</v>
      </c>
      <c r="C192" s="484" t="str">
        <f>COMPOSIÇÕES!C1608</f>
        <v>ISOLADOR DE PORCELANA, TIPO PINO MONOCORPO, PARA TENSAO DE *15* KV - FORNECIMENTO E INSTALAÇÃO</v>
      </c>
      <c r="D192" s="472" t="s">
        <v>62</v>
      </c>
      <c r="E192" s="472">
        <v>18</v>
      </c>
      <c r="F192" s="472">
        <f>COMPOSIÇÕES!G1618</f>
        <v>55.46</v>
      </c>
      <c r="G192" s="475">
        <f t="shared" si="60"/>
        <v>67.78</v>
      </c>
      <c r="H192" s="560">
        <f t="shared" si="61"/>
        <v>1220.04</v>
      </c>
      <c r="J192" s="382"/>
    </row>
    <row r="193" spans="1:10" x14ac:dyDescent="0.25">
      <c r="A193" s="562" t="s">
        <v>1535</v>
      </c>
      <c r="B193" s="523" t="str">
        <f>COMPOSIÇÕES!A1622</f>
        <v>CPU 170</v>
      </c>
      <c r="C193" s="526" t="str">
        <f>COMPOSIÇÕES!C1622</f>
        <v>PARAFUSO DE ACO TIPO CHUMBADOR PARABOLT, DIAMETRO 1/2", COMPRIMENTO 75 MM - FORNECIMENTO E INSTALAÇÃO</v>
      </c>
      <c r="D193" s="472" t="s">
        <v>62</v>
      </c>
      <c r="E193" s="472">
        <v>6</v>
      </c>
      <c r="F193" s="472">
        <f>COMPOSIÇÕES!G1632</f>
        <v>15.149999999999999</v>
      </c>
      <c r="G193" s="475">
        <f t="shared" si="60"/>
        <v>18.510000000000002</v>
      </c>
      <c r="H193" s="560">
        <f t="shared" si="61"/>
        <v>111.06</v>
      </c>
      <c r="J193" s="382"/>
    </row>
    <row r="194" spans="1:10" x14ac:dyDescent="0.25">
      <c r="A194" s="562" t="s">
        <v>1536</v>
      </c>
      <c r="B194" s="524" t="str">
        <f>COMPOSIÇÕES!A112</f>
        <v>CPU 86</v>
      </c>
      <c r="C194" s="484" t="str">
        <f>COMPOSIÇÕES!C112</f>
        <v>PORCA OLHAL EM ACO GALVANIZADO, ESPESSURA 16MM, ABERTURA 21MM</v>
      </c>
      <c r="D194" s="536" t="s">
        <v>62</v>
      </c>
      <c r="E194" s="536">
        <v>6</v>
      </c>
      <c r="F194" s="536">
        <f>COMPOSIÇÕES!G122</f>
        <v>20.7</v>
      </c>
      <c r="G194" s="459">
        <f t="shared" si="60"/>
        <v>25.3</v>
      </c>
      <c r="H194" s="514">
        <f t="shared" si="61"/>
        <v>151.80000000000001</v>
      </c>
      <c r="J194" s="382"/>
    </row>
    <row r="195" spans="1:10" x14ac:dyDescent="0.25">
      <c r="A195" s="562" t="s">
        <v>1537</v>
      </c>
      <c r="B195" s="524" t="str">
        <f>COMPOSIÇÕES!A194</f>
        <v>CPU 91</v>
      </c>
      <c r="C195" s="484" t="str">
        <f>COMPOSIÇÕES!C194</f>
        <v>GANCHO OLHAL EM ACO GALVANIZADO, ESPESSURA 16MM, ABERTURA 21MM</v>
      </c>
      <c r="D195" s="536" t="s">
        <v>62</v>
      </c>
      <c r="E195" s="536">
        <v>6</v>
      </c>
      <c r="F195" s="536">
        <f>COMPOSIÇÕES!G204</f>
        <v>25.740000000000002</v>
      </c>
      <c r="G195" s="459">
        <f t="shared" si="60"/>
        <v>31.46</v>
      </c>
      <c r="H195" s="514">
        <f t="shared" si="61"/>
        <v>188.76</v>
      </c>
      <c r="J195" s="382"/>
    </row>
    <row r="196" spans="1:10" x14ac:dyDescent="0.25">
      <c r="A196" s="562" t="s">
        <v>1538</v>
      </c>
      <c r="B196" s="524" t="str">
        <f>COMPOSIÇÕES!A409</f>
        <v>CPU 103</v>
      </c>
      <c r="C196" s="484" t="str">
        <f>COMPOSIÇÕES!C409</f>
        <v>MANILHA SAPATILHA</v>
      </c>
      <c r="D196" s="536" t="s">
        <v>62</v>
      </c>
      <c r="E196" s="536">
        <v>6</v>
      </c>
      <c r="F196" s="536">
        <f>COMPOSIÇÕES!D425</f>
        <v>21.63</v>
      </c>
      <c r="G196" s="459">
        <f t="shared" si="60"/>
        <v>26.43</v>
      </c>
      <c r="H196" s="514">
        <f t="shared" si="61"/>
        <v>158.58000000000001</v>
      </c>
      <c r="J196" s="382"/>
    </row>
    <row r="197" spans="1:10" x14ac:dyDescent="0.25">
      <c r="A197" s="562" t="s">
        <v>1589</v>
      </c>
      <c r="B197" s="524" t="str">
        <f>COMPOSIÇÕES!A283</f>
        <v>CPU 97</v>
      </c>
      <c r="C197" s="484" t="str">
        <f>COMPOSIÇÕES!C283</f>
        <v>ALÇA PREFORMADA ESTAI 2"</v>
      </c>
      <c r="D197" s="536" t="s">
        <v>62</v>
      </c>
      <c r="E197" s="536">
        <v>6</v>
      </c>
      <c r="F197" s="536">
        <f>COMPOSIÇÕES!G293</f>
        <v>13.17</v>
      </c>
      <c r="G197" s="459">
        <f t="shared" si="60"/>
        <v>16.09</v>
      </c>
      <c r="H197" s="514">
        <f t="shared" si="61"/>
        <v>96.54</v>
      </c>
      <c r="J197" s="382"/>
    </row>
    <row r="198" spans="1:10" x14ac:dyDescent="0.25">
      <c r="A198" s="562" t="s">
        <v>1590</v>
      </c>
      <c r="B198" s="524" t="str">
        <f>COMPOSIÇÕES!A1692</f>
        <v>CPU 175</v>
      </c>
      <c r="C198" s="526" t="str">
        <f>COMPOSIÇÕES!C1692</f>
        <v>CHAPA DE ACO GALVANIZADA BITOLA GSG 18, E = 1,25 MM (10,00 KG/M2) - FORNECIMENTO E INSTALAÇÃO (1.60mX0.60m)</v>
      </c>
      <c r="D198" s="536" t="s">
        <v>62</v>
      </c>
      <c r="E198" s="536">
        <v>2</v>
      </c>
      <c r="F198" s="536">
        <f>COMPOSIÇÕES!G1702</f>
        <v>295.01</v>
      </c>
      <c r="G198" s="459">
        <f t="shared" si="60"/>
        <v>360.57</v>
      </c>
      <c r="H198" s="514">
        <f t="shared" si="61"/>
        <v>721.14</v>
      </c>
      <c r="J198" s="382"/>
    </row>
    <row r="199" spans="1:10" x14ac:dyDescent="0.25">
      <c r="A199" s="562" t="s">
        <v>1601</v>
      </c>
      <c r="B199" s="524" t="str">
        <f>COMPOSIÇÕES!A179</f>
        <v>CPU 90</v>
      </c>
      <c r="C199" s="484" t="str">
        <f>COMPOSIÇÕES!C179</f>
        <v>PARA-RAIOS DE DISTRIBUICAO, TENSAO NOMINAL 15 KV, CORRENTE NOMINAL DE DESCARGA 5 KA</v>
      </c>
      <c r="D199" s="536" t="s">
        <v>62</v>
      </c>
      <c r="E199" s="536">
        <v>6</v>
      </c>
      <c r="F199" s="536">
        <f>COMPOSIÇÕES!G189</f>
        <v>262.28999999999996</v>
      </c>
      <c r="G199" s="459">
        <f t="shared" si="60"/>
        <v>320.58</v>
      </c>
      <c r="H199" s="514">
        <f t="shared" si="61"/>
        <v>1923.48</v>
      </c>
      <c r="J199" s="382"/>
    </row>
    <row r="200" spans="1:10" x14ac:dyDescent="0.25">
      <c r="A200" s="562" t="s">
        <v>1602</v>
      </c>
      <c r="B200" s="525">
        <v>98111</v>
      </c>
      <c r="C200" s="526" t="s">
        <v>1556</v>
      </c>
      <c r="D200" s="536" t="s">
        <v>62</v>
      </c>
      <c r="E200" s="536">
        <v>6</v>
      </c>
      <c r="F200" s="536">
        <v>60.54</v>
      </c>
      <c r="G200" s="459">
        <f t="shared" ref="G200:G206" si="72">TRUNC((F200*(1+$H$6))*(1+$H$4),2)</f>
        <v>73.989999999999995</v>
      </c>
      <c r="H200" s="514">
        <f t="shared" ref="H200:H206" si="73">TRUNC(G200*E200,2)</f>
        <v>443.94</v>
      </c>
      <c r="J200" s="382"/>
    </row>
    <row r="201" spans="1:10" ht="30" x14ac:dyDescent="0.25">
      <c r="A201" s="562" t="s">
        <v>1603</v>
      </c>
      <c r="B201" s="524" t="str">
        <f>COMPOSIÇÕES!A1636</f>
        <v>CPU 171</v>
      </c>
      <c r="C201" s="484" t="str">
        <f>COMPOSIÇÕES!C1636</f>
        <v>JANELA BASCULANTE, EM ALUMINIO PERFIL 20, 80 X 60 CM (A X L), 4 FLS (1 FIXA E 3 MOVEIS), ACABAMENTO BRANCO OU BRILHANTE, BATENTE DE 3 A 4 CM, COM VIDRO, SEM GUARNICAO - FORNECIMENTO E INSTALAÇÃO</v>
      </c>
      <c r="D201" s="536" t="s">
        <v>62</v>
      </c>
      <c r="E201" s="536">
        <v>2</v>
      </c>
      <c r="F201" s="536">
        <f>COMPOSIÇÕES!G1646</f>
        <v>286.43</v>
      </c>
      <c r="G201" s="459">
        <f t="shared" si="72"/>
        <v>350.09</v>
      </c>
      <c r="H201" s="514">
        <f t="shared" si="73"/>
        <v>700.18</v>
      </c>
      <c r="J201" s="382"/>
    </row>
    <row r="202" spans="1:10" x14ac:dyDescent="0.25">
      <c r="A202" s="562" t="s">
        <v>1604</v>
      </c>
      <c r="B202" s="524">
        <v>101911</v>
      </c>
      <c r="C202" s="526" t="s">
        <v>1561</v>
      </c>
      <c r="D202" s="536" t="s">
        <v>62</v>
      </c>
      <c r="E202" s="536">
        <v>1</v>
      </c>
      <c r="F202" s="536">
        <v>331.35</v>
      </c>
      <c r="G202" s="459">
        <f t="shared" si="72"/>
        <v>404.99</v>
      </c>
      <c r="H202" s="514">
        <f t="shared" si="73"/>
        <v>404.99</v>
      </c>
      <c r="J202" s="382"/>
    </row>
    <row r="203" spans="1:10" ht="30" x14ac:dyDescent="0.25">
      <c r="A203" s="562" t="s">
        <v>1605</v>
      </c>
      <c r="B203" s="524" t="str">
        <f>COMPOSIÇÕES!A1650</f>
        <v>CPU 172</v>
      </c>
      <c r="C203" s="484" t="str">
        <f>COMPOSIÇÕES!C1650</f>
        <v>PORTA DE ABRIR EM ACO COM DIVISAO HORIZONTAL PARA VIDROS, COM FUNDO ANTICORROSIVO/PRIMER DE PROTECAO, SEM GUARNICAO/ALIZAR/VISTA, VIDROS NÃO INCLUSOS, 90 X 210 CM - FORNECIMENTO E INSTALAÇÃO</v>
      </c>
      <c r="D203" s="536" t="s">
        <v>62</v>
      </c>
      <c r="E203" s="536">
        <v>1</v>
      </c>
      <c r="F203" s="536">
        <f>COMPOSIÇÕES!G1660</f>
        <v>721.48</v>
      </c>
      <c r="G203" s="459">
        <f t="shared" si="72"/>
        <v>881.83</v>
      </c>
      <c r="H203" s="514">
        <f t="shared" si="73"/>
        <v>881.83</v>
      </c>
      <c r="J203" s="382"/>
    </row>
    <row r="204" spans="1:10" x14ac:dyDescent="0.25">
      <c r="A204" s="562" t="s">
        <v>1606</v>
      </c>
      <c r="B204" s="524" t="str">
        <f>COMPOSIÇÕES!A508</f>
        <v>CPU 108</v>
      </c>
      <c r="C204" s="526" t="str">
        <f>COMPOSIÇÕES!C508</f>
        <v>ELETRODUTO DE AÇO GALVANIZADO - FOGO - 80 MM² (3")</v>
      </c>
      <c r="D204" s="536" t="s">
        <v>275</v>
      </c>
      <c r="E204" s="536">
        <v>15</v>
      </c>
      <c r="F204" s="536">
        <f>COMPOSIÇÕES!G525</f>
        <v>375.19</v>
      </c>
      <c r="G204" s="459">
        <f t="shared" si="72"/>
        <v>458.58</v>
      </c>
      <c r="H204" s="514">
        <f t="shared" si="73"/>
        <v>6878.7</v>
      </c>
      <c r="J204" s="382"/>
    </row>
    <row r="205" spans="1:10" x14ac:dyDescent="0.25">
      <c r="A205" s="562" t="s">
        <v>1607</v>
      </c>
      <c r="B205" s="524" t="str">
        <f>COMPOSIÇÕES!A1664</f>
        <v>CPU 173</v>
      </c>
      <c r="C205" s="526" t="str">
        <f>COMPOSIÇÕES!C1664</f>
        <v>CURVA 90 GRAUS, PARA ELETRODUTO, EM ACO GALVANIZADO ELETROLITICO, DIAMETRO DE 40 MM (1 1/2") - FORNECIMENTO E INSTALAÇÃO</v>
      </c>
      <c r="D205" s="536" t="s">
        <v>62</v>
      </c>
      <c r="E205" s="536">
        <v>2</v>
      </c>
      <c r="F205" s="536">
        <f>COMPOSIÇÕES!G1674</f>
        <v>36.370000000000005</v>
      </c>
      <c r="G205" s="459">
        <f t="shared" si="72"/>
        <v>44.45</v>
      </c>
      <c r="H205" s="514">
        <f t="shared" si="73"/>
        <v>88.9</v>
      </c>
      <c r="J205" s="382"/>
    </row>
    <row r="206" spans="1:10" ht="30" x14ac:dyDescent="0.25">
      <c r="A206" s="562" t="s">
        <v>1608</v>
      </c>
      <c r="B206" s="524" t="str">
        <f>COMPOSIÇÕES!A1678</f>
        <v>CPU 174</v>
      </c>
      <c r="C206" s="484" t="str">
        <f>COMPOSIÇÕES!C1678</f>
        <v>PORTAO DE ABRIR / GIRO, EM GRADIL DE METALON REDONDO DE 3/4" VERTICAL, COM REQUADRO, ACABAMENTO NATURAL - COMPLETO - FORNECIMENTO E INSTALAÇÃO</v>
      </c>
      <c r="D206" s="536" t="s">
        <v>62</v>
      </c>
      <c r="E206" s="536">
        <v>2</v>
      </c>
      <c r="F206" s="536">
        <f>COMPOSIÇÕES!G1688</f>
        <v>694.23</v>
      </c>
      <c r="G206" s="459">
        <f t="shared" si="72"/>
        <v>848.53</v>
      </c>
      <c r="H206" s="514">
        <f t="shared" si="73"/>
        <v>1697.06</v>
      </c>
      <c r="J206" s="382"/>
    </row>
    <row r="207" spans="1:10" x14ac:dyDescent="0.25">
      <c r="A207" s="562" t="s">
        <v>1609</v>
      </c>
      <c r="B207" s="524">
        <v>96977</v>
      </c>
      <c r="C207" s="484" t="s">
        <v>1544</v>
      </c>
      <c r="D207" s="536" t="s">
        <v>275</v>
      </c>
      <c r="E207" s="536">
        <v>60</v>
      </c>
      <c r="F207" s="536">
        <v>55.32</v>
      </c>
      <c r="G207" s="459">
        <f t="shared" ref="G207" si="74">TRUNC((F207*(1+$H$6))*(1+$H$4),2)</f>
        <v>67.61</v>
      </c>
      <c r="H207" s="514">
        <f t="shared" ref="H207" si="75">TRUNC(G207*E207,2)</f>
        <v>4056.6</v>
      </c>
      <c r="J207" s="382"/>
    </row>
    <row r="208" spans="1:10" x14ac:dyDescent="0.25">
      <c r="A208" s="562" t="s">
        <v>1610</v>
      </c>
      <c r="B208" s="524">
        <v>96985</v>
      </c>
      <c r="C208" s="484" t="s">
        <v>1611</v>
      </c>
      <c r="D208" s="536" t="s">
        <v>62</v>
      </c>
      <c r="E208" s="536">
        <v>30</v>
      </c>
      <c r="F208" s="536">
        <v>79.59</v>
      </c>
      <c r="G208" s="459">
        <f t="shared" ref="G208" si="76">TRUNC((F208*(1+$H$6))*(1+$H$4),2)</f>
        <v>97.27</v>
      </c>
      <c r="H208" s="514">
        <f t="shared" ref="H208" si="77">TRUNC(G208*E208,2)</f>
        <v>2918.1</v>
      </c>
      <c r="J208" s="382"/>
    </row>
    <row r="209" spans="1:10" x14ac:dyDescent="0.25">
      <c r="A209" s="562" t="s">
        <v>1612</v>
      </c>
      <c r="B209" s="524" t="str">
        <f>COMPOSIÇÕES!A268</f>
        <v>CPU 96</v>
      </c>
      <c r="C209" s="484" t="str">
        <f>COMPOSIÇÕES!C268</f>
        <v>GRAMPO METALICO TIPO OLHAL PARA HASTE DE ATERRAMENTO DE 5/8'', CONDUTOR DE *10* A 50 MM2</v>
      </c>
      <c r="D209" s="536" t="s">
        <v>62</v>
      </c>
      <c r="E209" s="536">
        <v>40</v>
      </c>
      <c r="F209" s="536">
        <f>COMPOSIÇÕES!G278</f>
        <v>20.060000000000002</v>
      </c>
      <c r="G209" s="459">
        <f t="shared" ref="G209" si="78">TRUNC((F209*(1+$H$6))*(1+$H$4),2)</f>
        <v>24.51</v>
      </c>
      <c r="H209" s="514">
        <f t="shared" ref="H209" si="79">TRUNC(G209*E209,2)</f>
        <v>980.4</v>
      </c>
      <c r="J209" s="382"/>
    </row>
    <row r="210" spans="1:10" x14ac:dyDescent="0.25">
      <c r="A210" s="562" t="s">
        <v>1613</v>
      </c>
      <c r="B210" s="524">
        <v>101946</v>
      </c>
      <c r="C210" s="526" t="s">
        <v>1572</v>
      </c>
      <c r="D210" s="536" t="s">
        <v>62</v>
      </c>
      <c r="E210" s="536">
        <v>1</v>
      </c>
      <c r="F210" s="536">
        <v>139.1</v>
      </c>
      <c r="G210" s="459">
        <f t="shared" ref="G210" si="80">TRUNC((F210*(1+$H$6))*(1+$H$4),2)</f>
        <v>170.01</v>
      </c>
      <c r="H210" s="514">
        <f t="shared" ref="H210" si="81">TRUNC(G210*E210,2)</f>
        <v>170.01</v>
      </c>
      <c r="J210" s="382"/>
    </row>
    <row r="211" spans="1:10" x14ac:dyDescent="0.25">
      <c r="A211" s="736" t="s">
        <v>778</v>
      </c>
      <c r="B211" s="737"/>
      <c r="C211" s="737"/>
      <c r="D211" s="737"/>
      <c r="E211" s="737"/>
      <c r="F211" s="737"/>
      <c r="G211" s="737"/>
      <c r="H211" s="558">
        <f>SUM(H169:H210)</f>
        <v>73158.3</v>
      </c>
      <c r="J211" s="382"/>
    </row>
    <row r="212" spans="1:10" x14ac:dyDescent="0.25">
      <c r="A212" s="736"/>
      <c r="B212" s="737"/>
      <c r="C212" s="737"/>
      <c r="D212" s="737"/>
      <c r="E212" s="737"/>
      <c r="F212" s="737"/>
      <c r="G212" s="737"/>
      <c r="H212" s="738"/>
      <c r="J212" s="382"/>
    </row>
    <row r="213" spans="1:10" x14ac:dyDescent="0.25">
      <c r="A213" s="718" t="s">
        <v>780</v>
      </c>
      <c r="B213" s="719"/>
      <c r="C213" s="719"/>
      <c r="D213" s="719"/>
      <c r="E213" s="719"/>
      <c r="F213" s="719"/>
      <c r="G213" s="719"/>
      <c r="H213" s="565">
        <f>SUM(H128,H147,H103,H92,H80,H23,H17,H13,H166,H211)</f>
        <v>510775.93</v>
      </c>
      <c r="J213" s="382"/>
    </row>
    <row r="214" spans="1:10" ht="16.5" thickBot="1" x14ac:dyDescent="0.3">
      <c r="A214" s="730" t="s">
        <v>1678</v>
      </c>
      <c r="B214" s="731"/>
      <c r="C214" s="731"/>
      <c r="D214" s="731"/>
      <c r="E214" s="731"/>
      <c r="F214" s="731"/>
      <c r="G214" s="731"/>
      <c r="H214" s="732"/>
      <c r="J214" s="382"/>
    </row>
  </sheetData>
  <mergeCells count="43">
    <mergeCell ref="A211:G211"/>
    <mergeCell ref="A212:H212"/>
    <mergeCell ref="A103:G103"/>
    <mergeCell ref="D105:H105"/>
    <mergeCell ref="A128:G128"/>
    <mergeCell ref="A214:H214"/>
    <mergeCell ref="A80:G80"/>
    <mergeCell ref="D82:H82"/>
    <mergeCell ref="A93:H93"/>
    <mergeCell ref="A92:G92"/>
    <mergeCell ref="D94:H94"/>
    <mergeCell ref="A104:H104"/>
    <mergeCell ref="A148:H148"/>
    <mergeCell ref="A213:G213"/>
    <mergeCell ref="D130:H130"/>
    <mergeCell ref="A147:G147"/>
    <mergeCell ref="A129:H129"/>
    <mergeCell ref="D149:H149"/>
    <mergeCell ref="D168:H168"/>
    <mergeCell ref="A166:G166"/>
    <mergeCell ref="A167:H167"/>
    <mergeCell ref="A1:H1"/>
    <mergeCell ref="B4:C4"/>
    <mergeCell ref="A7:H7"/>
    <mergeCell ref="A10:H10"/>
    <mergeCell ref="B5:C5"/>
    <mergeCell ref="D3:F5"/>
    <mergeCell ref="B3:C3"/>
    <mergeCell ref="B2:F2"/>
    <mergeCell ref="A6:H6"/>
    <mergeCell ref="G2:H3"/>
    <mergeCell ref="A8:H8"/>
    <mergeCell ref="D11:H11"/>
    <mergeCell ref="D15:H15"/>
    <mergeCell ref="A18:H18"/>
    <mergeCell ref="A14:H14"/>
    <mergeCell ref="A81:H81"/>
    <mergeCell ref="A17:G17"/>
    <mergeCell ref="A13:G13"/>
    <mergeCell ref="D25:H25"/>
    <mergeCell ref="D19:H19"/>
    <mergeCell ref="A24:H24"/>
    <mergeCell ref="A23:G23"/>
  </mergeCells>
  <phoneticPr fontId="14" type="noConversion"/>
  <printOptions horizontalCentered="1"/>
  <pageMargins left="0.39370078740157483" right="0.39370078740157483" top="0.19685039370078741" bottom="0.98425196850393704" header="0.31496062992125984" footer="0.31496062992125984"/>
  <pageSetup paperSize="9" scale="39" fitToHeight="0" orientation="portrait" r:id="rId1"/>
  <headerFooter>
    <oddFooter>Página &amp;P de &amp;N</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2"/>
  <sheetViews>
    <sheetView view="pageBreakPreview" zoomScale="70" zoomScaleNormal="70" zoomScaleSheetLayoutView="70" workbookViewId="0">
      <selection activeCell="D53" sqref="D53"/>
    </sheetView>
  </sheetViews>
  <sheetFormatPr defaultColWidth="9.140625" defaultRowHeight="14.25" customHeight="1" x14ac:dyDescent="0.2"/>
  <cols>
    <col min="1" max="1" width="8.85546875" style="20" customWidth="1"/>
    <col min="2" max="3" width="21" style="11" customWidth="1"/>
    <col min="4" max="4" width="92.28515625" style="6" customWidth="1"/>
    <col min="5" max="5" width="9.42578125" style="8" customWidth="1"/>
    <col min="6" max="6" width="18.85546875" style="8" hidden="1" customWidth="1"/>
    <col min="7" max="7" width="14.5703125" style="8" bestFit="1" customWidth="1"/>
    <col min="8" max="8" width="13.42578125" style="8" customWidth="1"/>
    <col min="9" max="9" width="10.5703125" style="8" hidden="1" customWidth="1"/>
    <col min="10" max="10" width="14.85546875" style="8" bestFit="1" customWidth="1"/>
    <col min="11" max="11" width="17" style="8" customWidth="1"/>
    <col min="12" max="12" width="10.5703125" style="8" customWidth="1"/>
    <col min="13" max="13" width="12" style="8" bestFit="1" customWidth="1"/>
    <col min="14" max="14" width="11" style="8" customWidth="1"/>
    <col min="15" max="15" width="13.85546875" style="8" customWidth="1"/>
    <col min="16" max="47" width="11" style="8" customWidth="1"/>
    <col min="48" max="48" width="13.85546875" style="8" customWidth="1"/>
    <col min="49" max="49" width="9.28515625" style="8" customWidth="1"/>
    <col min="50" max="50" width="11" style="8" customWidth="1"/>
    <col min="51" max="51" width="13.85546875" style="8" customWidth="1"/>
    <col min="52" max="52" width="12" style="8" bestFit="1" customWidth="1"/>
    <col min="53" max="53" width="10.5703125" style="8" customWidth="1"/>
    <col min="54" max="54" width="15.28515625" style="8" customWidth="1"/>
    <col min="55" max="16384" width="9.140625" style="8"/>
  </cols>
  <sheetData>
    <row r="1" spans="1:54" s="6" customFormat="1" ht="19.5" customHeight="1" x14ac:dyDescent="0.25">
      <c r="A1" s="1" t="s">
        <v>56</v>
      </c>
      <c r="B1" s="5"/>
      <c r="C1" s="5"/>
      <c r="D1" s="4"/>
    </row>
    <row r="2" spans="1:54" ht="19.5" customHeight="1" x14ac:dyDescent="0.25">
      <c r="A2" s="2" t="s">
        <v>831</v>
      </c>
      <c r="B2" s="4"/>
      <c r="C2" s="4"/>
      <c r="D2" s="4"/>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4" s="6" customFormat="1" ht="19.5" customHeight="1" x14ac:dyDescent="0.25">
      <c r="A3" s="2" t="s">
        <v>832</v>
      </c>
      <c r="B3" s="4"/>
      <c r="C3" s="4"/>
      <c r="D3" s="4"/>
    </row>
    <row r="4" spans="1:54" ht="19.5" customHeight="1" x14ac:dyDescent="0.25">
      <c r="A4" s="1" t="s">
        <v>833</v>
      </c>
      <c r="B4" s="5"/>
      <c r="C4" s="5"/>
      <c r="D4" s="4"/>
      <c r="E4" s="654" t="s">
        <v>43</v>
      </c>
      <c r="F4" s="654"/>
      <c r="G4" s="654"/>
      <c r="H4" s="6"/>
      <c r="I4" s="6"/>
      <c r="J4" s="6"/>
      <c r="K4" s="6"/>
      <c r="L4" s="6"/>
      <c r="M4" s="6">
        <f>34000*1.25</f>
        <v>42500</v>
      </c>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4" ht="19.5" customHeight="1" x14ac:dyDescent="0.25">
      <c r="A5" s="1" t="s">
        <v>4</v>
      </c>
      <c r="B5" s="5"/>
      <c r="C5" s="5"/>
      <c r="D5" s="4"/>
      <c r="E5" s="688" t="e">
        <f>RESUMO!#REF!</f>
        <v>#REF!</v>
      </c>
      <c r="F5" s="688"/>
      <c r="G5" s="688"/>
      <c r="H5" s="688"/>
      <c r="I5" s="688"/>
      <c r="J5" s="688"/>
      <c r="K5" s="688"/>
      <c r="L5" s="6"/>
      <c r="M5" s="219"/>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4" ht="19.5" customHeight="1" x14ac:dyDescent="0.25">
      <c r="A6" s="1" t="e">
        <f>RESUMO!#REF!</f>
        <v>#REF!</v>
      </c>
      <c r="B6" s="5"/>
      <c r="C6" s="5"/>
      <c r="D6" s="5"/>
      <c r="E6" s="688"/>
      <c r="F6" s="688"/>
      <c r="G6" s="688"/>
      <c r="H6" s="688"/>
      <c r="I6" s="688"/>
      <c r="J6" s="688"/>
      <c r="K6" s="688"/>
      <c r="L6" s="6"/>
      <c r="M6" s="62"/>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4" ht="48.75" customHeight="1" x14ac:dyDescent="0.25">
      <c r="A7" s="1" t="e">
        <f>RESUMO!#REF!</f>
        <v>#REF!</v>
      </c>
      <c r="B7" s="5"/>
      <c r="C7" s="5"/>
      <c r="D7" s="5"/>
      <c r="E7" s="688"/>
      <c r="F7" s="688"/>
      <c r="G7" s="688"/>
      <c r="H7" s="688"/>
      <c r="I7" s="688"/>
      <c r="J7" s="688"/>
      <c r="K7" s="688"/>
      <c r="L7" s="6"/>
      <c r="M7" s="203"/>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4" ht="19.5" customHeight="1" thickBot="1" x14ac:dyDescent="0.3">
      <c r="A8" s="1" t="str">
        <f>RESUMO!A7</f>
        <v xml:space="preserve">RESUMO DA PLANILHA ORÇAMENTARIA </v>
      </c>
      <c r="B8" s="5"/>
      <c r="C8" s="5"/>
      <c r="E8" s="6" t="s">
        <v>45</v>
      </c>
      <c r="F8" s="6"/>
      <c r="G8" s="689">
        <v>0.2465</v>
      </c>
      <c r="H8" s="689"/>
      <c r="I8" s="236"/>
      <c r="J8" s="64" t="s">
        <v>57</v>
      </c>
      <c r="K8" s="236">
        <f>Reforma!K8</f>
        <v>0</v>
      </c>
      <c r="L8" s="21"/>
      <c r="M8" s="332"/>
      <c r="N8" s="6"/>
      <c r="O8" s="62"/>
      <c r="P8" s="62"/>
      <c r="Q8" s="6"/>
      <c r="R8" s="62"/>
      <c r="S8" s="62"/>
      <c r="T8" s="6"/>
      <c r="U8" s="62"/>
      <c r="V8" s="62"/>
      <c r="W8" s="6"/>
      <c r="X8" s="62"/>
      <c r="Y8" s="62"/>
      <c r="Z8" s="6"/>
      <c r="AA8" s="62"/>
      <c r="AB8" s="62"/>
      <c r="AC8" s="6"/>
      <c r="AD8" s="62"/>
      <c r="AE8" s="62"/>
      <c r="AF8" s="6"/>
      <c r="AG8" s="62"/>
      <c r="AH8" s="62"/>
      <c r="AI8" s="6"/>
      <c r="AJ8" s="62"/>
      <c r="AK8" s="62"/>
      <c r="AL8" s="6"/>
      <c r="AM8" s="62"/>
      <c r="AN8" s="62"/>
      <c r="AO8" s="6"/>
      <c r="AP8" s="62"/>
      <c r="AQ8" s="62"/>
      <c r="AR8" s="6"/>
      <c r="AS8" s="62"/>
      <c r="AT8" s="62"/>
      <c r="AU8" s="6"/>
      <c r="AV8" s="62"/>
      <c r="AW8" s="62"/>
      <c r="AX8" s="62"/>
      <c r="AY8" s="62"/>
      <c r="AZ8" s="62"/>
      <c r="BA8" s="62"/>
      <c r="BB8" s="62"/>
    </row>
    <row r="9" spans="1:54" s="18" customFormat="1" ht="18.75" customHeight="1" thickBot="1" x14ac:dyDescent="0.3">
      <c r="A9" s="739" t="s">
        <v>13</v>
      </c>
      <c r="B9" s="655" t="s">
        <v>834</v>
      </c>
      <c r="C9" s="655" t="s">
        <v>835</v>
      </c>
      <c r="D9" s="739" t="s">
        <v>61</v>
      </c>
      <c r="E9" s="739" t="s">
        <v>62</v>
      </c>
      <c r="F9" s="740" t="s">
        <v>836</v>
      </c>
      <c r="G9" s="743" t="s">
        <v>64</v>
      </c>
      <c r="H9" s="744"/>
      <c r="I9" s="745"/>
      <c r="J9" s="660" t="s">
        <v>65</v>
      </c>
      <c r="K9" s="661"/>
      <c r="L9" s="196"/>
      <c r="M9" s="649" t="s">
        <v>66</v>
      </c>
      <c r="N9" s="649"/>
      <c r="O9" s="649"/>
      <c r="P9" s="649" t="s">
        <v>67</v>
      </c>
      <c r="Q9" s="649"/>
      <c r="R9" s="649"/>
      <c r="S9" s="649" t="s">
        <v>68</v>
      </c>
      <c r="T9" s="649"/>
      <c r="U9" s="649"/>
      <c r="V9" s="649" t="s">
        <v>69</v>
      </c>
      <c r="W9" s="649"/>
      <c r="X9" s="649"/>
      <c r="Y9" s="649" t="s">
        <v>70</v>
      </c>
      <c r="Z9" s="649"/>
      <c r="AA9" s="649"/>
      <c r="AB9" s="649" t="s">
        <v>71</v>
      </c>
      <c r="AC9" s="649"/>
      <c r="AD9" s="649"/>
      <c r="AE9" s="649" t="s">
        <v>72</v>
      </c>
      <c r="AF9" s="649"/>
      <c r="AG9" s="649"/>
      <c r="AH9" s="649" t="s">
        <v>73</v>
      </c>
      <c r="AI9" s="649"/>
      <c r="AJ9" s="649"/>
      <c r="AK9" s="649" t="s">
        <v>74</v>
      </c>
      <c r="AL9" s="649"/>
      <c r="AM9" s="649"/>
      <c r="AN9" s="649" t="s">
        <v>75</v>
      </c>
      <c r="AO9" s="649"/>
      <c r="AP9" s="649"/>
      <c r="AQ9" s="649" t="s">
        <v>76</v>
      </c>
      <c r="AR9" s="649"/>
      <c r="AS9" s="649"/>
      <c r="AT9" s="649" t="s">
        <v>77</v>
      </c>
      <c r="AU9" s="649"/>
      <c r="AV9" s="649"/>
      <c r="AW9" s="649" t="s">
        <v>78</v>
      </c>
      <c r="AX9" s="649"/>
      <c r="AY9" s="649"/>
      <c r="AZ9" s="649" t="s">
        <v>79</v>
      </c>
      <c r="BA9" s="649"/>
      <c r="BB9" s="649"/>
    </row>
    <row r="10" spans="1:54" s="18" customFormat="1" ht="14.25" customHeight="1" thickBot="1" x14ac:dyDescent="0.3">
      <c r="A10" s="739"/>
      <c r="B10" s="656"/>
      <c r="C10" s="656"/>
      <c r="D10" s="739"/>
      <c r="E10" s="739"/>
      <c r="F10" s="741"/>
      <c r="G10" s="746"/>
      <c r="H10" s="747"/>
      <c r="I10" s="748"/>
      <c r="J10" s="662"/>
      <c r="K10" s="663"/>
      <c r="L10" s="197"/>
      <c r="M10" s="651" t="s">
        <v>86</v>
      </c>
      <c r="N10" s="650" t="s">
        <v>87</v>
      </c>
      <c r="O10" s="390" t="s">
        <v>88</v>
      </c>
      <c r="P10" s="651" t="s">
        <v>86</v>
      </c>
      <c r="Q10" s="650" t="s">
        <v>87</v>
      </c>
      <c r="R10" s="390" t="s">
        <v>88</v>
      </c>
      <c r="S10" s="651" t="s">
        <v>86</v>
      </c>
      <c r="T10" s="650" t="s">
        <v>87</v>
      </c>
      <c r="U10" s="390" t="s">
        <v>88</v>
      </c>
      <c r="V10" s="651" t="s">
        <v>86</v>
      </c>
      <c r="W10" s="650" t="s">
        <v>87</v>
      </c>
      <c r="X10" s="390" t="s">
        <v>88</v>
      </c>
      <c r="Y10" s="651" t="s">
        <v>86</v>
      </c>
      <c r="Z10" s="650" t="s">
        <v>87</v>
      </c>
      <c r="AA10" s="390" t="s">
        <v>88</v>
      </c>
      <c r="AB10" s="651" t="s">
        <v>86</v>
      </c>
      <c r="AC10" s="650" t="s">
        <v>87</v>
      </c>
      <c r="AD10" s="390" t="s">
        <v>88</v>
      </c>
      <c r="AE10" s="651" t="s">
        <v>86</v>
      </c>
      <c r="AF10" s="650" t="s">
        <v>87</v>
      </c>
      <c r="AG10" s="390" t="s">
        <v>88</v>
      </c>
      <c r="AH10" s="651" t="s">
        <v>86</v>
      </c>
      <c r="AI10" s="650" t="s">
        <v>87</v>
      </c>
      <c r="AJ10" s="390" t="s">
        <v>88</v>
      </c>
      <c r="AK10" s="651" t="s">
        <v>86</v>
      </c>
      <c r="AL10" s="650" t="s">
        <v>87</v>
      </c>
      <c r="AM10" s="390" t="s">
        <v>88</v>
      </c>
      <c r="AN10" s="651" t="s">
        <v>86</v>
      </c>
      <c r="AO10" s="650" t="s">
        <v>87</v>
      </c>
      <c r="AP10" s="390" t="s">
        <v>88</v>
      </c>
      <c r="AQ10" s="651" t="s">
        <v>86</v>
      </c>
      <c r="AR10" s="650" t="s">
        <v>87</v>
      </c>
      <c r="AS10" s="390" t="s">
        <v>88</v>
      </c>
      <c r="AT10" s="651" t="s">
        <v>86</v>
      </c>
      <c r="AU10" s="650" t="s">
        <v>87</v>
      </c>
      <c r="AV10" s="390" t="s">
        <v>88</v>
      </c>
      <c r="AW10" s="651" t="s">
        <v>86</v>
      </c>
      <c r="AX10" s="650" t="s">
        <v>87</v>
      </c>
      <c r="AY10" s="390" t="s">
        <v>88</v>
      </c>
      <c r="AZ10" s="651" t="s">
        <v>86</v>
      </c>
      <c r="BA10" s="650" t="s">
        <v>87</v>
      </c>
      <c r="BB10" s="390" t="s">
        <v>88</v>
      </c>
    </row>
    <row r="11" spans="1:54" s="18" customFormat="1" ht="38.25" customHeight="1" thickBot="1" x14ac:dyDescent="0.3">
      <c r="A11" s="655"/>
      <c r="B11" s="657"/>
      <c r="C11" s="657"/>
      <c r="D11" s="655"/>
      <c r="E11" s="655"/>
      <c r="F11" s="742"/>
      <c r="G11" s="394" t="s">
        <v>89</v>
      </c>
      <c r="H11" s="394" t="s">
        <v>90</v>
      </c>
      <c r="I11" s="394" t="s">
        <v>91</v>
      </c>
      <c r="J11" s="388" t="s">
        <v>92</v>
      </c>
      <c r="K11" s="388" t="s">
        <v>89</v>
      </c>
      <c r="L11" s="388" t="s">
        <v>91</v>
      </c>
      <c r="M11" s="651"/>
      <c r="N11" s="650"/>
      <c r="O11" s="390" t="s">
        <v>21</v>
      </c>
      <c r="P11" s="651"/>
      <c r="Q11" s="650"/>
      <c r="R11" s="390" t="s">
        <v>21</v>
      </c>
      <c r="S11" s="651"/>
      <c r="T11" s="650"/>
      <c r="U11" s="390" t="s">
        <v>21</v>
      </c>
      <c r="V11" s="651"/>
      <c r="W11" s="650"/>
      <c r="X11" s="390" t="s">
        <v>21</v>
      </c>
      <c r="Y11" s="651"/>
      <c r="Z11" s="650"/>
      <c r="AA11" s="390" t="s">
        <v>21</v>
      </c>
      <c r="AB11" s="651"/>
      <c r="AC11" s="650"/>
      <c r="AD11" s="390" t="s">
        <v>21</v>
      </c>
      <c r="AE11" s="651"/>
      <c r="AF11" s="650"/>
      <c r="AG11" s="390" t="s">
        <v>21</v>
      </c>
      <c r="AH11" s="651"/>
      <c r="AI11" s="650"/>
      <c r="AJ11" s="390" t="s">
        <v>21</v>
      </c>
      <c r="AK11" s="651"/>
      <c r="AL11" s="650"/>
      <c r="AM11" s="390" t="s">
        <v>21</v>
      </c>
      <c r="AN11" s="651"/>
      <c r="AO11" s="650"/>
      <c r="AP11" s="390" t="s">
        <v>21</v>
      </c>
      <c r="AQ11" s="651"/>
      <c r="AR11" s="650"/>
      <c r="AS11" s="390" t="s">
        <v>21</v>
      </c>
      <c r="AT11" s="651"/>
      <c r="AU11" s="650"/>
      <c r="AV11" s="390" t="s">
        <v>21</v>
      </c>
      <c r="AW11" s="651"/>
      <c r="AX11" s="650"/>
      <c r="AY11" s="390" t="s">
        <v>21</v>
      </c>
      <c r="AZ11" s="651"/>
      <c r="BA11" s="650"/>
      <c r="BB11" s="390" t="s">
        <v>21</v>
      </c>
    </row>
    <row r="12" spans="1:54" s="3" customFormat="1" ht="15" x14ac:dyDescent="0.2">
      <c r="A12" s="101" t="s">
        <v>227</v>
      </c>
      <c r="B12" s="290"/>
      <c r="C12" s="290"/>
      <c r="D12" s="230" t="s">
        <v>837</v>
      </c>
      <c r="E12" s="369"/>
      <c r="F12" s="287"/>
      <c r="G12" s="202"/>
      <c r="H12" s="202"/>
      <c r="I12" s="202"/>
      <c r="J12" s="202"/>
      <c r="K12" s="84"/>
      <c r="L12" s="205"/>
      <c r="M12" s="207"/>
      <c r="N12" s="98"/>
      <c r="O12" s="208"/>
      <c r="P12" s="209"/>
      <c r="Q12" s="98"/>
      <c r="R12" s="208"/>
      <c r="S12" s="209"/>
      <c r="T12" s="98"/>
      <c r="U12" s="208"/>
      <c r="V12" s="209"/>
      <c r="W12" s="98"/>
      <c r="X12" s="208"/>
      <c r="Y12" s="209"/>
      <c r="Z12" s="98"/>
      <c r="AA12" s="208"/>
      <c r="AB12" s="209"/>
      <c r="AC12" s="98"/>
      <c r="AD12" s="208"/>
      <c r="AE12" s="209"/>
      <c r="AF12" s="98"/>
      <c r="AG12" s="208"/>
      <c r="AH12" s="209"/>
      <c r="AI12" s="98"/>
      <c r="AJ12" s="208"/>
      <c r="AK12" s="209"/>
      <c r="AL12" s="98"/>
      <c r="AM12" s="208"/>
      <c r="AN12" s="209"/>
      <c r="AO12" s="98"/>
      <c r="AP12" s="208"/>
      <c r="AQ12" s="209"/>
      <c r="AR12" s="98"/>
      <c r="AS12" s="208"/>
      <c r="AT12" s="209"/>
      <c r="AU12" s="98"/>
      <c r="AV12" s="210"/>
      <c r="AW12" s="209"/>
      <c r="AX12" s="98"/>
      <c r="AY12" s="211"/>
      <c r="AZ12" s="212"/>
      <c r="BA12" s="98"/>
      <c r="BB12" s="211"/>
    </row>
    <row r="13" spans="1:54" s="3" customFormat="1" ht="15" x14ac:dyDescent="0.2">
      <c r="A13" s="39" t="s">
        <v>229</v>
      </c>
      <c r="B13" s="87">
        <v>73677</v>
      </c>
      <c r="C13" s="87" t="s">
        <v>792</v>
      </c>
      <c r="D13" s="97" t="s">
        <v>838</v>
      </c>
      <c r="E13" s="28" t="s">
        <v>110</v>
      </c>
      <c r="F13" s="329">
        <v>4.04</v>
      </c>
      <c r="G13" s="85">
        <v>14</v>
      </c>
      <c r="H13" s="99">
        <f>G13</f>
        <v>14</v>
      </c>
      <c r="I13" s="288">
        <f>H13-G13</f>
        <v>0</v>
      </c>
      <c r="J13" s="288">
        <f>ROUND((F13*(1+$K$8))*(1+$G$8),2)</f>
        <v>5.04</v>
      </c>
      <c r="K13" s="38">
        <f>TRUNC(J13*G13,2)</f>
        <v>70.56</v>
      </c>
      <c r="L13" s="206">
        <f>TRUNC(J13*I13,2)</f>
        <v>0</v>
      </c>
      <c r="M13" s="213">
        <f>N13/$H13*100</f>
        <v>0</v>
      </c>
      <c r="N13" s="98"/>
      <c r="O13" s="98">
        <f>TRUNC(N13*$J13,2)</f>
        <v>0</v>
      </c>
      <c r="P13" s="214">
        <f>Q13/$H13*100</f>
        <v>0</v>
      </c>
      <c r="Q13" s="98"/>
      <c r="R13" s="98">
        <f>TRUNC(Q13*$J13,2)</f>
        <v>0</v>
      </c>
      <c r="S13" s="214">
        <f>T13/$H13*100</f>
        <v>0</v>
      </c>
      <c r="T13" s="98"/>
      <c r="U13" s="98">
        <f>TRUNC(T13*$J13,2)</f>
        <v>0</v>
      </c>
      <c r="V13" s="214">
        <f>W13/$H13*100</f>
        <v>0</v>
      </c>
      <c r="W13" s="98"/>
      <c r="X13" s="98">
        <f>TRUNC(W13*$J13,2)</f>
        <v>0</v>
      </c>
      <c r="Y13" s="214">
        <f>Z13/$H13*100</f>
        <v>0</v>
      </c>
      <c r="Z13" s="98"/>
      <c r="AA13" s="98">
        <f>TRUNC(Z13*$J13,2)</f>
        <v>0</v>
      </c>
      <c r="AB13" s="214">
        <f>AC13/$H13*100</f>
        <v>0</v>
      </c>
      <c r="AC13" s="98"/>
      <c r="AD13" s="98">
        <f>TRUNC(AC13*$J13,2)</f>
        <v>0</v>
      </c>
      <c r="AE13" s="214">
        <f>AF13/$H13*100</f>
        <v>0</v>
      </c>
      <c r="AF13" s="98"/>
      <c r="AG13" s="98">
        <f>TRUNC(AF13*$J13,2)</f>
        <v>0</v>
      </c>
      <c r="AH13" s="214">
        <f>AI13/$H13*100</f>
        <v>0</v>
      </c>
      <c r="AI13" s="98"/>
      <c r="AJ13" s="98">
        <f>TRUNC(AI13*$J13,2)</f>
        <v>0</v>
      </c>
      <c r="AK13" s="214">
        <f>AL13/$H13*100</f>
        <v>0</v>
      </c>
      <c r="AL13" s="98"/>
      <c r="AM13" s="98">
        <f>TRUNC(AL13*$J13,2)</f>
        <v>0</v>
      </c>
      <c r="AN13" s="214">
        <f>AO13/$H13*100</f>
        <v>0</v>
      </c>
      <c r="AO13" s="98"/>
      <c r="AP13" s="98">
        <f>TRUNC(AO13*$J13,2)</f>
        <v>0</v>
      </c>
      <c r="AQ13" s="214">
        <f>AR13/$H13*100</f>
        <v>0</v>
      </c>
      <c r="AR13" s="98"/>
      <c r="AS13" s="98">
        <f>TRUNC(AR13*$J13,2)</f>
        <v>0</v>
      </c>
      <c r="AT13" s="214">
        <f>AU13/$H13*100</f>
        <v>0</v>
      </c>
      <c r="AU13" s="98"/>
      <c r="AV13" s="215">
        <f>TRUNC(AU13*$J13,2)</f>
        <v>0</v>
      </c>
      <c r="AW13" s="214">
        <f>AX13/$H13*100</f>
        <v>0</v>
      </c>
      <c r="AX13" s="98">
        <f>Q13+N13+T13+W13+Z13+AC13+AF13+AI13+AL13+AO13+AR13+AU13</f>
        <v>0</v>
      </c>
      <c r="AY13" s="204">
        <f>TRUNC(AX13*$J13,2)</f>
        <v>0</v>
      </c>
      <c r="AZ13" s="214">
        <f>BA13/$H13*100</f>
        <v>100</v>
      </c>
      <c r="BA13" s="98">
        <f>H13-AX13</f>
        <v>14</v>
      </c>
      <c r="BB13" s="204">
        <f>TRUNC(BA13*$J13,2)</f>
        <v>70.56</v>
      </c>
    </row>
    <row r="14" spans="1:54" s="3" customFormat="1" ht="15" x14ac:dyDescent="0.2">
      <c r="A14" s="39" t="s">
        <v>233</v>
      </c>
      <c r="B14" s="87">
        <v>73682</v>
      </c>
      <c r="C14" s="87" t="s">
        <v>792</v>
      </c>
      <c r="D14" s="96" t="s">
        <v>839</v>
      </c>
      <c r="E14" s="87" t="s">
        <v>275</v>
      </c>
      <c r="F14" s="329">
        <v>0.55000000000000004</v>
      </c>
      <c r="G14" s="44">
        <v>1450</v>
      </c>
      <c r="H14" s="99">
        <f>G14</f>
        <v>1450</v>
      </c>
      <c r="I14" s="288">
        <f t="shared" ref="I14:I38" si="0">H14-G14</f>
        <v>0</v>
      </c>
      <c r="J14" s="288">
        <f t="shared" ref="J14:J38" si="1">ROUND((F14*(1+$K$8))*(1+$G$8),2)</f>
        <v>0.69</v>
      </c>
      <c r="K14" s="38">
        <f t="shared" ref="K14:K38" si="2">TRUNC(J14*G14,2)</f>
        <v>1000.5</v>
      </c>
      <c r="L14" s="206">
        <f t="shared" ref="L14:L38" si="3">TRUNC(J14*I14,2)</f>
        <v>0</v>
      </c>
      <c r="M14" s="213">
        <f t="shared" ref="M14:M38" si="4">N14/$H14*100</f>
        <v>0</v>
      </c>
      <c r="N14" s="98"/>
      <c r="O14" s="98">
        <f>TRUNC(N14*$J14,2)</f>
        <v>0</v>
      </c>
      <c r="P14" s="214">
        <f t="shared" ref="P14:P38" si="5">Q14/$H14*100</f>
        <v>0</v>
      </c>
      <c r="Q14" s="98"/>
      <c r="R14" s="98">
        <f>TRUNC(Q14*$J14,2)</f>
        <v>0</v>
      </c>
      <c r="S14" s="214">
        <f t="shared" ref="S14:S38" si="6">T14/$H14*100</f>
        <v>0</v>
      </c>
      <c r="T14" s="98"/>
      <c r="U14" s="98">
        <f>TRUNC(T14*$J14,2)</f>
        <v>0</v>
      </c>
      <c r="V14" s="214">
        <f t="shared" ref="V14:V38" si="7">W14/$H14*100</f>
        <v>0</v>
      </c>
      <c r="W14" s="98"/>
      <c r="X14" s="98">
        <f>TRUNC(W14*$J14,2)</f>
        <v>0</v>
      </c>
      <c r="Y14" s="214">
        <f t="shared" ref="Y14:Y38" si="8">Z14/$H14*100</f>
        <v>0</v>
      </c>
      <c r="Z14" s="98"/>
      <c r="AA14" s="98">
        <f>TRUNC(Z14*$J14,2)</f>
        <v>0</v>
      </c>
      <c r="AB14" s="214">
        <f t="shared" ref="AB14:AB38" si="9">AC14/$H14*100</f>
        <v>0</v>
      </c>
      <c r="AC14" s="98"/>
      <c r="AD14" s="98">
        <f>TRUNC(AC14*$J14,2)</f>
        <v>0</v>
      </c>
      <c r="AE14" s="214">
        <f t="shared" ref="AE14:AE38" si="10">AF14/$H14*100</f>
        <v>0</v>
      </c>
      <c r="AF14" s="98"/>
      <c r="AG14" s="98">
        <f>TRUNC(AF14*$J14,2)</f>
        <v>0</v>
      </c>
      <c r="AH14" s="214">
        <f t="shared" ref="AH14:AH38" si="11">AI14/$H14*100</f>
        <v>0</v>
      </c>
      <c r="AI14" s="98"/>
      <c r="AJ14" s="98">
        <f>TRUNC(AI14*$J14,2)</f>
        <v>0</v>
      </c>
      <c r="AK14" s="214">
        <f t="shared" ref="AK14:AK38" si="12">AL14/$H14*100</f>
        <v>0</v>
      </c>
      <c r="AL14" s="98"/>
      <c r="AM14" s="98">
        <f>TRUNC(AL14*$J14,2)</f>
        <v>0</v>
      </c>
      <c r="AN14" s="214">
        <f t="shared" ref="AN14:AN38" si="13">AO14/$H14*100</f>
        <v>0</v>
      </c>
      <c r="AO14" s="98"/>
      <c r="AP14" s="98">
        <f>TRUNC(AO14*$J14,2)</f>
        <v>0</v>
      </c>
      <c r="AQ14" s="214">
        <f t="shared" ref="AQ14:AQ38" si="14">AR14/$H14*100</f>
        <v>0</v>
      </c>
      <c r="AR14" s="98"/>
      <c r="AS14" s="98">
        <f>TRUNC(AR14*$J14,2)</f>
        <v>0</v>
      </c>
      <c r="AT14" s="214">
        <f t="shared" ref="AT14:AT38" si="15">AU14/$H14*100</f>
        <v>0</v>
      </c>
      <c r="AU14" s="98"/>
      <c r="AV14" s="215">
        <f>TRUNC(AU14*$J14,2)</f>
        <v>0</v>
      </c>
      <c r="AW14" s="214">
        <f t="shared" ref="AW14:AW38" si="16">AX14/$H14*100</f>
        <v>0</v>
      </c>
      <c r="AX14" s="98">
        <f t="shared" ref="AX14:AX38" si="17">Q14+N14+T14+W14+Z14+AC14+AF14+AI14+AL14+AO14+AR14+AU14</f>
        <v>0</v>
      </c>
      <c r="AY14" s="204">
        <f>TRUNC(AX14*$J14,2)</f>
        <v>0</v>
      </c>
      <c r="AZ14" s="214">
        <f t="shared" ref="AZ14:AZ38" si="18">BA14/$H14*100</f>
        <v>100</v>
      </c>
      <c r="BA14" s="98">
        <f t="shared" ref="BA14:BA38" si="19">H14-AX14</f>
        <v>1450</v>
      </c>
      <c r="BB14" s="204">
        <f>TRUNC(BA14*$J14,2)</f>
        <v>1000.5</v>
      </c>
    </row>
    <row r="15" spans="1:54" s="3" customFormat="1" ht="15" x14ac:dyDescent="0.2">
      <c r="A15" s="39" t="s">
        <v>237</v>
      </c>
      <c r="B15" s="87" t="s">
        <v>840</v>
      </c>
      <c r="C15" s="87" t="s">
        <v>792</v>
      </c>
      <c r="D15" s="96" t="s">
        <v>841</v>
      </c>
      <c r="E15" s="37" t="s">
        <v>119</v>
      </c>
      <c r="F15" s="329">
        <v>16.23</v>
      </c>
      <c r="G15" s="99">
        <f>1*0.6*G14</f>
        <v>870</v>
      </c>
      <c r="H15" s="99">
        <f t="shared" ref="H15:H30" si="20">G15</f>
        <v>870</v>
      </c>
      <c r="I15" s="288">
        <f t="shared" si="0"/>
        <v>0</v>
      </c>
      <c r="J15" s="288">
        <f t="shared" si="1"/>
        <v>20.23</v>
      </c>
      <c r="K15" s="38">
        <f t="shared" si="2"/>
        <v>17600.099999999999</v>
      </c>
      <c r="L15" s="206">
        <f t="shared" si="3"/>
        <v>0</v>
      </c>
      <c r="M15" s="213">
        <f t="shared" si="4"/>
        <v>0</v>
      </c>
      <c r="N15" s="98"/>
      <c r="O15" s="98">
        <f t="shared" ref="O15:O30" si="21">TRUNC(N15*$J15,2)</f>
        <v>0</v>
      </c>
      <c r="P15" s="214">
        <f t="shared" si="5"/>
        <v>0</v>
      </c>
      <c r="Q15" s="98"/>
      <c r="R15" s="98">
        <f t="shared" ref="R15:R30" si="22">TRUNC(Q15*$J15,2)</f>
        <v>0</v>
      </c>
      <c r="S15" s="214">
        <f t="shared" si="6"/>
        <v>0</v>
      </c>
      <c r="T15" s="98"/>
      <c r="U15" s="98">
        <f t="shared" ref="U15:U30" si="23">TRUNC(T15*$J15,2)</f>
        <v>0</v>
      </c>
      <c r="V15" s="214">
        <f t="shared" si="7"/>
        <v>0</v>
      </c>
      <c r="W15" s="98"/>
      <c r="X15" s="98">
        <f t="shared" ref="X15:X30" si="24">TRUNC(W15*$J15,2)</f>
        <v>0</v>
      </c>
      <c r="Y15" s="214">
        <f t="shared" si="8"/>
        <v>0</v>
      </c>
      <c r="Z15" s="98"/>
      <c r="AA15" s="98">
        <f t="shared" ref="AA15:AA30" si="25">TRUNC(Z15*$J15,2)</f>
        <v>0</v>
      </c>
      <c r="AB15" s="214">
        <f t="shared" si="9"/>
        <v>0</v>
      </c>
      <c r="AC15" s="98"/>
      <c r="AD15" s="98">
        <f t="shared" ref="AD15:AD30" si="26">TRUNC(AC15*$J15,2)</f>
        <v>0</v>
      </c>
      <c r="AE15" s="214">
        <f t="shared" si="10"/>
        <v>0</v>
      </c>
      <c r="AF15" s="98"/>
      <c r="AG15" s="98">
        <f t="shared" ref="AG15:AG30" si="27">TRUNC(AF15*$J15,2)</f>
        <v>0</v>
      </c>
      <c r="AH15" s="214">
        <f t="shared" si="11"/>
        <v>0</v>
      </c>
      <c r="AI15" s="98"/>
      <c r="AJ15" s="98">
        <f t="shared" ref="AJ15:AJ30" si="28">TRUNC(AI15*$J15,2)</f>
        <v>0</v>
      </c>
      <c r="AK15" s="214">
        <f t="shared" si="12"/>
        <v>0</v>
      </c>
      <c r="AL15" s="98"/>
      <c r="AM15" s="98">
        <f t="shared" ref="AM15:AM30" si="29">TRUNC(AL15*$J15,2)</f>
        <v>0</v>
      </c>
      <c r="AN15" s="214">
        <f t="shared" si="13"/>
        <v>0</v>
      </c>
      <c r="AO15" s="98"/>
      <c r="AP15" s="98">
        <f t="shared" ref="AP15:AP30" si="30">TRUNC(AO15*$J15,2)</f>
        <v>0</v>
      </c>
      <c r="AQ15" s="214">
        <f t="shared" si="14"/>
        <v>0</v>
      </c>
      <c r="AR15" s="98"/>
      <c r="AS15" s="98">
        <f t="shared" ref="AS15:AS30" si="31">TRUNC(AR15*$J15,2)</f>
        <v>0</v>
      </c>
      <c r="AT15" s="214">
        <f t="shared" si="15"/>
        <v>0</v>
      </c>
      <c r="AU15" s="98"/>
      <c r="AV15" s="215">
        <f t="shared" ref="AV15:AV30" si="32">TRUNC(AU15*$J15,2)</f>
        <v>0</v>
      </c>
      <c r="AW15" s="214">
        <f t="shared" si="16"/>
        <v>0</v>
      </c>
      <c r="AX15" s="98">
        <f t="shared" si="17"/>
        <v>0</v>
      </c>
      <c r="AY15" s="204">
        <f t="shared" ref="AY15:AY30" si="33">TRUNC(AX15*$J15,2)</f>
        <v>0</v>
      </c>
      <c r="AZ15" s="214">
        <f t="shared" si="18"/>
        <v>100</v>
      </c>
      <c r="BA15" s="98">
        <f t="shared" si="19"/>
        <v>870</v>
      </c>
      <c r="BB15" s="204">
        <f t="shared" ref="BB15:BB30" si="34">TRUNC(BA15*$J15,2)</f>
        <v>17600.099999999999</v>
      </c>
    </row>
    <row r="16" spans="1:54" s="3" customFormat="1" ht="15" hidden="1" x14ac:dyDescent="0.2">
      <c r="A16" s="39" t="s">
        <v>241</v>
      </c>
      <c r="B16" s="87"/>
      <c r="C16" s="87"/>
      <c r="D16" s="102"/>
      <c r="E16" s="87"/>
      <c r="F16" s="329"/>
      <c r="G16" s="99"/>
      <c r="H16" s="99">
        <f t="shared" si="20"/>
        <v>0</v>
      </c>
      <c r="I16" s="288">
        <f t="shared" si="0"/>
        <v>0</v>
      </c>
      <c r="J16" s="288">
        <f t="shared" si="1"/>
        <v>0</v>
      </c>
      <c r="K16" s="38">
        <f t="shared" si="2"/>
        <v>0</v>
      </c>
      <c r="L16" s="206">
        <f t="shared" si="3"/>
        <v>0</v>
      </c>
      <c r="M16" s="213" t="e">
        <f t="shared" si="4"/>
        <v>#DIV/0!</v>
      </c>
      <c r="N16" s="98"/>
      <c r="O16" s="98">
        <f t="shared" si="21"/>
        <v>0</v>
      </c>
      <c r="P16" s="214" t="e">
        <f t="shared" si="5"/>
        <v>#DIV/0!</v>
      </c>
      <c r="Q16" s="98"/>
      <c r="R16" s="98">
        <f t="shared" si="22"/>
        <v>0</v>
      </c>
      <c r="S16" s="214" t="e">
        <f t="shared" si="6"/>
        <v>#DIV/0!</v>
      </c>
      <c r="T16" s="98"/>
      <c r="U16" s="98">
        <f t="shared" si="23"/>
        <v>0</v>
      </c>
      <c r="V16" s="214" t="e">
        <f t="shared" si="7"/>
        <v>#DIV/0!</v>
      </c>
      <c r="W16" s="98"/>
      <c r="X16" s="98">
        <f t="shared" si="24"/>
        <v>0</v>
      </c>
      <c r="Y16" s="214" t="e">
        <f t="shared" si="8"/>
        <v>#DIV/0!</v>
      </c>
      <c r="Z16" s="98"/>
      <c r="AA16" s="98">
        <f t="shared" si="25"/>
        <v>0</v>
      </c>
      <c r="AB16" s="214" t="e">
        <f t="shared" si="9"/>
        <v>#DIV/0!</v>
      </c>
      <c r="AC16" s="98"/>
      <c r="AD16" s="98">
        <f t="shared" si="26"/>
        <v>0</v>
      </c>
      <c r="AE16" s="214" t="e">
        <f t="shared" si="10"/>
        <v>#DIV/0!</v>
      </c>
      <c r="AF16" s="98"/>
      <c r="AG16" s="98">
        <f t="shared" si="27"/>
        <v>0</v>
      </c>
      <c r="AH16" s="214" t="e">
        <f t="shared" si="11"/>
        <v>#DIV/0!</v>
      </c>
      <c r="AI16" s="98"/>
      <c r="AJ16" s="98">
        <f t="shared" si="28"/>
        <v>0</v>
      </c>
      <c r="AK16" s="214" t="e">
        <f t="shared" si="12"/>
        <v>#DIV/0!</v>
      </c>
      <c r="AL16" s="98"/>
      <c r="AM16" s="98">
        <f t="shared" si="29"/>
        <v>0</v>
      </c>
      <c r="AN16" s="214" t="e">
        <f t="shared" si="13"/>
        <v>#DIV/0!</v>
      </c>
      <c r="AO16" s="98"/>
      <c r="AP16" s="98">
        <f t="shared" si="30"/>
        <v>0</v>
      </c>
      <c r="AQ16" s="214" t="e">
        <f t="shared" si="14"/>
        <v>#DIV/0!</v>
      </c>
      <c r="AR16" s="98"/>
      <c r="AS16" s="98">
        <f t="shared" si="31"/>
        <v>0</v>
      </c>
      <c r="AT16" s="214" t="e">
        <f t="shared" si="15"/>
        <v>#DIV/0!</v>
      </c>
      <c r="AU16" s="98"/>
      <c r="AV16" s="215">
        <f t="shared" si="32"/>
        <v>0</v>
      </c>
      <c r="AW16" s="214" t="e">
        <f t="shared" si="16"/>
        <v>#DIV/0!</v>
      </c>
      <c r="AX16" s="98">
        <f t="shared" si="17"/>
        <v>0</v>
      </c>
      <c r="AY16" s="204">
        <f t="shared" si="33"/>
        <v>0</v>
      </c>
      <c r="AZ16" s="214" t="e">
        <f t="shared" si="18"/>
        <v>#DIV/0!</v>
      </c>
      <c r="BA16" s="98">
        <f t="shared" si="19"/>
        <v>0</v>
      </c>
      <c r="BB16" s="204">
        <f t="shared" si="34"/>
        <v>0</v>
      </c>
    </row>
    <row r="17" spans="1:54" s="3" customFormat="1" ht="15" hidden="1" x14ac:dyDescent="0.2">
      <c r="A17" s="39" t="s">
        <v>242</v>
      </c>
      <c r="B17" s="87"/>
      <c r="C17" s="87"/>
      <c r="D17" s="102"/>
      <c r="E17" s="87"/>
      <c r="F17" s="329"/>
      <c r="G17" s="99"/>
      <c r="H17" s="99">
        <f t="shared" si="20"/>
        <v>0</v>
      </c>
      <c r="I17" s="288">
        <f t="shared" si="0"/>
        <v>0</v>
      </c>
      <c r="J17" s="288">
        <f t="shared" si="1"/>
        <v>0</v>
      </c>
      <c r="K17" s="38">
        <f t="shared" si="2"/>
        <v>0</v>
      </c>
      <c r="L17" s="206">
        <f t="shared" si="3"/>
        <v>0</v>
      </c>
      <c r="M17" s="213" t="e">
        <f t="shared" si="4"/>
        <v>#DIV/0!</v>
      </c>
      <c r="N17" s="98"/>
      <c r="O17" s="98">
        <f t="shared" si="21"/>
        <v>0</v>
      </c>
      <c r="P17" s="214" t="e">
        <f t="shared" si="5"/>
        <v>#DIV/0!</v>
      </c>
      <c r="Q17" s="98"/>
      <c r="R17" s="98">
        <f t="shared" si="22"/>
        <v>0</v>
      </c>
      <c r="S17" s="214" t="e">
        <f t="shared" si="6"/>
        <v>#DIV/0!</v>
      </c>
      <c r="T17" s="98"/>
      <c r="U17" s="98">
        <f t="shared" si="23"/>
        <v>0</v>
      </c>
      <c r="V17" s="214" t="e">
        <f t="shared" si="7"/>
        <v>#DIV/0!</v>
      </c>
      <c r="W17" s="98"/>
      <c r="X17" s="98">
        <f t="shared" si="24"/>
        <v>0</v>
      </c>
      <c r="Y17" s="214" t="e">
        <f t="shared" si="8"/>
        <v>#DIV/0!</v>
      </c>
      <c r="Z17" s="98"/>
      <c r="AA17" s="98">
        <f t="shared" si="25"/>
        <v>0</v>
      </c>
      <c r="AB17" s="214" t="e">
        <f t="shared" si="9"/>
        <v>#DIV/0!</v>
      </c>
      <c r="AC17" s="98"/>
      <c r="AD17" s="98">
        <f t="shared" si="26"/>
        <v>0</v>
      </c>
      <c r="AE17" s="214" t="e">
        <f t="shared" si="10"/>
        <v>#DIV/0!</v>
      </c>
      <c r="AF17" s="98"/>
      <c r="AG17" s="98">
        <f t="shared" si="27"/>
        <v>0</v>
      </c>
      <c r="AH17" s="214" t="e">
        <f t="shared" si="11"/>
        <v>#DIV/0!</v>
      </c>
      <c r="AI17" s="98"/>
      <c r="AJ17" s="98">
        <f t="shared" si="28"/>
        <v>0</v>
      </c>
      <c r="AK17" s="214" t="e">
        <f t="shared" si="12"/>
        <v>#DIV/0!</v>
      </c>
      <c r="AL17" s="98"/>
      <c r="AM17" s="98">
        <f t="shared" si="29"/>
        <v>0</v>
      </c>
      <c r="AN17" s="214" t="e">
        <f t="shared" si="13"/>
        <v>#DIV/0!</v>
      </c>
      <c r="AO17" s="98"/>
      <c r="AP17" s="98">
        <f t="shared" si="30"/>
        <v>0</v>
      </c>
      <c r="AQ17" s="214" t="e">
        <f t="shared" si="14"/>
        <v>#DIV/0!</v>
      </c>
      <c r="AR17" s="98"/>
      <c r="AS17" s="98">
        <f t="shared" si="31"/>
        <v>0</v>
      </c>
      <c r="AT17" s="214" t="e">
        <f t="shared" si="15"/>
        <v>#DIV/0!</v>
      </c>
      <c r="AU17" s="98"/>
      <c r="AV17" s="215">
        <f t="shared" si="32"/>
        <v>0</v>
      </c>
      <c r="AW17" s="214" t="e">
        <f t="shared" si="16"/>
        <v>#DIV/0!</v>
      </c>
      <c r="AX17" s="98">
        <f t="shared" si="17"/>
        <v>0</v>
      </c>
      <c r="AY17" s="204">
        <f t="shared" si="33"/>
        <v>0</v>
      </c>
      <c r="AZ17" s="214" t="e">
        <f t="shared" si="18"/>
        <v>#DIV/0!</v>
      </c>
      <c r="BA17" s="98">
        <f t="shared" si="19"/>
        <v>0</v>
      </c>
      <c r="BB17" s="204">
        <f t="shared" si="34"/>
        <v>0</v>
      </c>
    </row>
    <row r="18" spans="1:54" s="3" customFormat="1" ht="15" hidden="1" x14ac:dyDescent="0.2">
      <c r="A18" s="39" t="s">
        <v>712</v>
      </c>
      <c r="B18" s="87"/>
      <c r="C18" s="87"/>
      <c r="D18" s="96"/>
      <c r="E18" s="87"/>
      <c r="F18" s="329"/>
      <c r="G18" s="99"/>
      <c r="H18" s="99">
        <f t="shared" si="20"/>
        <v>0</v>
      </c>
      <c r="I18" s="288">
        <f t="shared" si="0"/>
        <v>0</v>
      </c>
      <c r="J18" s="288">
        <f t="shared" si="1"/>
        <v>0</v>
      </c>
      <c r="K18" s="38">
        <f t="shared" si="2"/>
        <v>0</v>
      </c>
      <c r="L18" s="206">
        <f t="shared" si="3"/>
        <v>0</v>
      </c>
      <c r="M18" s="213" t="e">
        <f t="shared" si="4"/>
        <v>#DIV/0!</v>
      </c>
      <c r="N18" s="98"/>
      <c r="O18" s="98">
        <f t="shared" si="21"/>
        <v>0</v>
      </c>
      <c r="P18" s="214" t="e">
        <f t="shared" si="5"/>
        <v>#DIV/0!</v>
      </c>
      <c r="Q18" s="98"/>
      <c r="R18" s="98">
        <f t="shared" si="22"/>
        <v>0</v>
      </c>
      <c r="S18" s="214" t="e">
        <f t="shared" si="6"/>
        <v>#DIV/0!</v>
      </c>
      <c r="T18" s="98"/>
      <c r="U18" s="98">
        <f t="shared" si="23"/>
        <v>0</v>
      </c>
      <c r="V18" s="214" t="e">
        <f t="shared" si="7"/>
        <v>#DIV/0!</v>
      </c>
      <c r="W18" s="98"/>
      <c r="X18" s="98">
        <f t="shared" si="24"/>
        <v>0</v>
      </c>
      <c r="Y18" s="214" t="e">
        <f t="shared" si="8"/>
        <v>#DIV/0!</v>
      </c>
      <c r="Z18" s="98"/>
      <c r="AA18" s="98">
        <f t="shared" si="25"/>
        <v>0</v>
      </c>
      <c r="AB18" s="214" t="e">
        <f t="shared" si="9"/>
        <v>#DIV/0!</v>
      </c>
      <c r="AC18" s="98"/>
      <c r="AD18" s="98">
        <f t="shared" si="26"/>
        <v>0</v>
      </c>
      <c r="AE18" s="214" t="e">
        <f t="shared" si="10"/>
        <v>#DIV/0!</v>
      </c>
      <c r="AF18" s="98"/>
      <c r="AG18" s="98">
        <f t="shared" si="27"/>
        <v>0</v>
      </c>
      <c r="AH18" s="214" t="e">
        <f t="shared" si="11"/>
        <v>#DIV/0!</v>
      </c>
      <c r="AI18" s="98"/>
      <c r="AJ18" s="98">
        <f t="shared" si="28"/>
        <v>0</v>
      </c>
      <c r="AK18" s="214" t="e">
        <f t="shared" si="12"/>
        <v>#DIV/0!</v>
      </c>
      <c r="AL18" s="98"/>
      <c r="AM18" s="98">
        <f t="shared" si="29"/>
        <v>0</v>
      </c>
      <c r="AN18" s="214" t="e">
        <f t="shared" si="13"/>
        <v>#DIV/0!</v>
      </c>
      <c r="AO18" s="98"/>
      <c r="AP18" s="98">
        <f t="shared" si="30"/>
        <v>0</v>
      </c>
      <c r="AQ18" s="214" t="e">
        <f t="shared" si="14"/>
        <v>#DIV/0!</v>
      </c>
      <c r="AR18" s="98"/>
      <c r="AS18" s="98">
        <f t="shared" si="31"/>
        <v>0</v>
      </c>
      <c r="AT18" s="214" t="e">
        <f t="shared" si="15"/>
        <v>#DIV/0!</v>
      </c>
      <c r="AU18" s="98"/>
      <c r="AV18" s="215">
        <f t="shared" si="32"/>
        <v>0</v>
      </c>
      <c r="AW18" s="214" t="e">
        <f t="shared" si="16"/>
        <v>#DIV/0!</v>
      </c>
      <c r="AX18" s="98">
        <f t="shared" si="17"/>
        <v>0</v>
      </c>
      <c r="AY18" s="204">
        <f t="shared" si="33"/>
        <v>0</v>
      </c>
      <c r="AZ18" s="214" t="e">
        <f t="shared" si="18"/>
        <v>#DIV/0!</v>
      </c>
      <c r="BA18" s="98">
        <f t="shared" si="19"/>
        <v>0</v>
      </c>
      <c r="BB18" s="204">
        <f t="shared" si="34"/>
        <v>0</v>
      </c>
    </row>
    <row r="19" spans="1:54" s="3" customFormat="1" ht="15" hidden="1" x14ac:dyDescent="0.2">
      <c r="A19" s="39" t="s">
        <v>713</v>
      </c>
      <c r="B19" s="87"/>
      <c r="C19" s="87"/>
      <c r="D19" s="97"/>
      <c r="E19" s="87"/>
      <c r="F19" s="329"/>
      <c r="G19" s="85"/>
      <c r="H19" s="99">
        <f t="shared" si="20"/>
        <v>0</v>
      </c>
      <c r="I19" s="288">
        <f t="shared" si="0"/>
        <v>0</v>
      </c>
      <c r="J19" s="288">
        <f t="shared" si="1"/>
        <v>0</v>
      </c>
      <c r="K19" s="38">
        <f t="shared" si="2"/>
        <v>0</v>
      </c>
      <c r="L19" s="206">
        <f t="shared" si="3"/>
        <v>0</v>
      </c>
      <c r="M19" s="213" t="e">
        <f t="shared" si="4"/>
        <v>#DIV/0!</v>
      </c>
      <c r="N19" s="98"/>
      <c r="O19" s="98">
        <f t="shared" si="21"/>
        <v>0</v>
      </c>
      <c r="P19" s="214" t="e">
        <f t="shared" si="5"/>
        <v>#DIV/0!</v>
      </c>
      <c r="Q19" s="98"/>
      <c r="R19" s="98">
        <f t="shared" si="22"/>
        <v>0</v>
      </c>
      <c r="S19" s="214" t="e">
        <f t="shared" si="6"/>
        <v>#DIV/0!</v>
      </c>
      <c r="T19" s="98"/>
      <c r="U19" s="98">
        <f t="shared" si="23"/>
        <v>0</v>
      </c>
      <c r="V19" s="214" t="e">
        <f t="shared" si="7"/>
        <v>#DIV/0!</v>
      </c>
      <c r="W19" s="98"/>
      <c r="X19" s="98">
        <f t="shared" si="24"/>
        <v>0</v>
      </c>
      <c r="Y19" s="214" t="e">
        <f t="shared" si="8"/>
        <v>#DIV/0!</v>
      </c>
      <c r="Z19" s="98"/>
      <c r="AA19" s="98">
        <f t="shared" si="25"/>
        <v>0</v>
      </c>
      <c r="AB19" s="214" t="e">
        <f t="shared" si="9"/>
        <v>#DIV/0!</v>
      </c>
      <c r="AC19" s="98"/>
      <c r="AD19" s="98">
        <f t="shared" si="26"/>
        <v>0</v>
      </c>
      <c r="AE19" s="214" t="e">
        <f t="shared" si="10"/>
        <v>#DIV/0!</v>
      </c>
      <c r="AF19" s="98"/>
      <c r="AG19" s="98">
        <f t="shared" si="27"/>
        <v>0</v>
      </c>
      <c r="AH19" s="214" t="e">
        <f t="shared" si="11"/>
        <v>#DIV/0!</v>
      </c>
      <c r="AI19" s="98"/>
      <c r="AJ19" s="98">
        <f t="shared" si="28"/>
        <v>0</v>
      </c>
      <c r="AK19" s="214" t="e">
        <f t="shared" si="12"/>
        <v>#DIV/0!</v>
      </c>
      <c r="AL19" s="98"/>
      <c r="AM19" s="98">
        <f t="shared" si="29"/>
        <v>0</v>
      </c>
      <c r="AN19" s="214" t="e">
        <f t="shared" si="13"/>
        <v>#DIV/0!</v>
      </c>
      <c r="AO19" s="98"/>
      <c r="AP19" s="98">
        <f t="shared" si="30"/>
        <v>0</v>
      </c>
      <c r="AQ19" s="214" t="e">
        <f t="shared" si="14"/>
        <v>#DIV/0!</v>
      </c>
      <c r="AR19" s="98"/>
      <c r="AS19" s="98">
        <f t="shared" si="31"/>
        <v>0</v>
      </c>
      <c r="AT19" s="214" t="e">
        <f t="shared" si="15"/>
        <v>#DIV/0!</v>
      </c>
      <c r="AU19" s="98"/>
      <c r="AV19" s="215">
        <f t="shared" si="32"/>
        <v>0</v>
      </c>
      <c r="AW19" s="214" t="e">
        <f t="shared" si="16"/>
        <v>#DIV/0!</v>
      </c>
      <c r="AX19" s="98">
        <f t="shared" si="17"/>
        <v>0</v>
      </c>
      <c r="AY19" s="204">
        <f t="shared" si="33"/>
        <v>0</v>
      </c>
      <c r="AZ19" s="214" t="e">
        <f t="shared" si="18"/>
        <v>#DIV/0!</v>
      </c>
      <c r="BA19" s="98">
        <f t="shared" si="19"/>
        <v>0</v>
      </c>
      <c r="BB19" s="204">
        <f t="shared" si="34"/>
        <v>0</v>
      </c>
    </row>
    <row r="20" spans="1:54" s="3" customFormat="1" ht="39" customHeight="1" x14ac:dyDescent="0.2">
      <c r="A20" s="39" t="s">
        <v>241</v>
      </c>
      <c r="B20" s="37" t="s">
        <v>842</v>
      </c>
      <c r="C20" s="37" t="s">
        <v>792</v>
      </c>
      <c r="D20" s="96" t="s">
        <v>843</v>
      </c>
      <c r="E20" s="37" t="s">
        <v>119</v>
      </c>
      <c r="F20" s="329">
        <v>20.02</v>
      </c>
      <c r="G20" s="288">
        <f>G15-2.845</f>
        <v>867.15499999999997</v>
      </c>
      <c r="H20" s="99">
        <f t="shared" si="20"/>
        <v>867.15499999999997</v>
      </c>
      <c r="I20" s="288">
        <f t="shared" si="0"/>
        <v>0</v>
      </c>
      <c r="J20" s="288">
        <f t="shared" si="1"/>
        <v>24.95</v>
      </c>
      <c r="K20" s="38">
        <f t="shared" si="2"/>
        <v>21635.51</v>
      </c>
      <c r="L20" s="206">
        <f t="shared" si="3"/>
        <v>0</v>
      </c>
      <c r="M20" s="213">
        <f t="shared" si="4"/>
        <v>0</v>
      </c>
      <c r="N20" s="98"/>
      <c r="O20" s="98">
        <f t="shared" si="21"/>
        <v>0</v>
      </c>
      <c r="P20" s="214">
        <f t="shared" si="5"/>
        <v>0</v>
      </c>
      <c r="Q20" s="98"/>
      <c r="R20" s="98">
        <f t="shared" si="22"/>
        <v>0</v>
      </c>
      <c r="S20" s="214">
        <f t="shared" si="6"/>
        <v>0</v>
      </c>
      <c r="T20" s="98"/>
      <c r="U20" s="98">
        <f t="shared" si="23"/>
        <v>0</v>
      </c>
      <c r="V20" s="214">
        <f t="shared" si="7"/>
        <v>0</v>
      </c>
      <c r="W20" s="98"/>
      <c r="X20" s="98">
        <f t="shared" si="24"/>
        <v>0</v>
      </c>
      <c r="Y20" s="214">
        <f t="shared" si="8"/>
        <v>0</v>
      </c>
      <c r="Z20" s="98"/>
      <c r="AA20" s="98">
        <f t="shared" si="25"/>
        <v>0</v>
      </c>
      <c r="AB20" s="214">
        <f t="shared" si="9"/>
        <v>0</v>
      </c>
      <c r="AC20" s="98"/>
      <c r="AD20" s="98">
        <f t="shared" si="26"/>
        <v>0</v>
      </c>
      <c r="AE20" s="214">
        <f t="shared" si="10"/>
        <v>0</v>
      </c>
      <c r="AF20" s="98"/>
      <c r="AG20" s="98">
        <f t="shared" si="27"/>
        <v>0</v>
      </c>
      <c r="AH20" s="214">
        <f t="shared" si="11"/>
        <v>0</v>
      </c>
      <c r="AI20" s="98"/>
      <c r="AJ20" s="98">
        <f t="shared" si="28"/>
        <v>0</v>
      </c>
      <c r="AK20" s="214">
        <f t="shared" si="12"/>
        <v>0</v>
      </c>
      <c r="AL20" s="98"/>
      <c r="AM20" s="98">
        <f t="shared" si="29"/>
        <v>0</v>
      </c>
      <c r="AN20" s="214">
        <f t="shared" si="13"/>
        <v>0</v>
      </c>
      <c r="AO20" s="98"/>
      <c r="AP20" s="98">
        <f t="shared" si="30"/>
        <v>0</v>
      </c>
      <c r="AQ20" s="214">
        <f t="shared" si="14"/>
        <v>0</v>
      </c>
      <c r="AR20" s="98"/>
      <c r="AS20" s="98">
        <f t="shared" si="31"/>
        <v>0</v>
      </c>
      <c r="AT20" s="214">
        <f t="shared" si="15"/>
        <v>0</v>
      </c>
      <c r="AU20" s="98"/>
      <c r="AV20" s="215">
        <f t="shared" si="32"/>
        <v>0</v>
      </c>
      <c r="AW20" s="214">
        <f t="shared" si="16"/>
        <v>0</v>
      </c>
      <c r="AX20" s="98">
        <f t="shared" si="17"/>
        <v>0</v>
      </c>
      <c r="AY20" s="204">
        <f t="shared" si="33"/>
        <v>0</v>
      </c>
      <c r="AZ20" s="214">
        <f t="shared" si="18"/>
        <v>100</v>
      </c>
      <c r="BA20" s="98">
        <f t="shared" si="19"/>
        <v>867.15499999999997</v>
      </c>
      <c r="BB20" s="204">
        <f t="shared" si="34"/>
        <v>21635.51</v>
      </c>
    </row>
    <row r="21" spans="1:54" s="3" customFormat="1" ht="15" x14ac:dyDescent="0.2">
      <c r="A21" s="39" t="s">
        <v>242</v>
      </c>
      <c r="B21" s="87">
        <v>73692</v>
      </c>
      <c r="C21" s="37" t="s">
        <v>792</v>
      </c>
      <c r="D21" s="96" t="s">
        <v>844</v>
      </c>
      <c r="E21" s="37" t="s">
        <v>119</v>
      </c>
      <c r="F21" s="329">
        <v>75.819999999999993</v>
      </c>
      <c r="G21" s="288">
        <f>0.05*0.6*1450</f>
        <v>43.5</v>
      </c>
      <c r="H21" s="99">
        <f t="shared" si="20"/>
        <v>43.5</v>
      </c>
      <c r="I21" s="288">
        <f t="shared" si="0"/>
        <v>0</v>
      </c>
      <c r="J21" s="288">
        <f t="shared" si="1"/>
        <v>94.51</v>
      </c>
      <c r="K21" s="38">
        <f t="shared" si="2"/>
        <v>4111.18</v>
      </c>
      <c r="L21" s="206">
        <f t="shared" si="3"/>
        <v>0</v>
      </c>
      <c r="M21" s="213">
        <f t="shared" si="4"/>
        <v>0</v>
      </c>
      <c r="N21" s="98"/>
      <c r="O21" s="98">
        <f t="shared" si="21"/>
        <v>0</v>
      </c>
      <c r="P21" s="214">
        <f t="shared" si="5"/>
        <v>0</v>
      </c>
      <c r="Q21" s="98"/>
      <c r="R21" s="98">
        <f t="shared" si="22"/>
        <v>0</v>
      </c>
      <c r="S21" s="214">
        <f t="shared" si="6"/>
        <v>0</v>
      </c>
      <c r="T21" s="98"/>
      <c r="U21" s="98">
        <f t="shared" si="23"/>
        <v>0</v>
      </c>
      <c r="V21" s="214">
        <f t="shared" si="7"/>
        <v>0</v>
      </c>
      <c r="W21" s="98"/>
      <c r="X21" s="98">
        <f t="shared" si="24"/>
        <v>0</v>
      </c>
      <c r="Y21" s="214">
        <f t="shared" si="8"/>
        <v>0</v>
      </c>
      <c r="Z21" s="98"/>
      <c r="AA21" s="98">
        <f t="shared" si="25"/>
        <v>0</v>
      </c>
      <c r="AB21" s="214">
        <f t="shared" si="9"/>
        <v>0</v>
      </c>
      <c r="AC21" s="98"/>
      <c r="AD21" s="98">
        <f t="shared" si="26"/>
        <v>0</v>
      </c>
      <c r="AE21" s="214">
        <f t="shared" si="10"/>
        <v>0</v>
      </c>
      <c r="AF21" s="98"/>
      <c r="AG21" s="98">
        <f t="shared" si="27"/>
        <v>0</v>
      </c>
      <c r="AH21" s="214">
        <f t="shared" si="11"/>
        <v>0</v>
      </c>
      <c r="AI21" s="98"/>
      <c r="AJ21" s="98">
        <f t="shared" si="28"/>
        <v>0</v>
      </c>
      <c r="AK21" s="214">
        <f t="shared" si="12"/>
        <v>0</v>
      </c>
      <c r="AL21" s="98"/>
      <c r="AM21" s="98">
        <f t="shared" si="29"/>
        <v>0</v>
      </c>
      <c r="AN21" s="214">
        <f t="shared" si="13"/>
        <v>0</v>
      </c>
      <c r="AO21" s="98"/>
      <c r="AP21" s="98">
        <f t="shared" si="30"/>
        <v>0</v>
      </c>
      <c r="AQ21" s="214">
        <f t="shared" si="14"/>
        <v>0</v>
      </c>
      <c r="AR21" s="98"/>
      <c r="AS21" s="98">
        <f t="shared" si="31"/>
        <v>0</v>
      </c>
      <c r="AT21" s="214">
        <f t="shared" si="15"/>
        <v>0</v>
      </c>
      <c r="AU21" s="98"/>
      <c r="AV21" s="215">
        <f t="shared" si="32"/>
        <v>0</v>
      </c>
      <c r="AW21" s="214">
        <f t="shared" si="16"/>
        <v>0</v>
      </c>
      <c r="AX21" s="98">
        <f t="shared" si="17"/>
        <v>0</v>
      </c>
      <c r="AY21" s="204">
        <f t="shared" si="33"/>
        <v>0</v>
      </c>
      <c r="AZ21" s="214">
        <f t="shared" si="18"/>
        <v>100</v>
      </c>
      <c r="BA21" s="98">
        <f t="shared" si="19"/>
        <v>43.5</v>
      </c>
      <c r="BB21" s="204">
        <f t="shared" si="34"/>
        <v>4111.18</v>
      </c>
    </row>
    <row r="22" spans="1:54" s="3" customFormat="1" ht="15" hidden="1" x14ac:dyDescent="0.2">
      <c r="A22" s="39" t="s">
        <v>845</v>
      </c>
      <c r="B22" s="37"/>
      <c r="C22" s="37"/>
      <c r="D22" s="97"/>
      <c r="E22" s="87"/>
      <c r="F22" s="329"/>
      <c r="G22" s="85"/>
      <c r="H22" s="99">
        <f t="shared" si="20"/>
        <v>0</v>
      </c>
      <c r="I22" s="288">
        <f t="shared" si="0"/>
        <v>0</v>
      </c>
      <c r="J22" s="288">
        <f t="shared" si="1"/>
        <v>0</v>
      </c>
      <c r="K22" s="38">
        <f t="shared" si="2"/>
        <v>0</v>
      </c>
      <c r="L22" s="206">
        <f t="shared" si="3"/>
        <v>0</v>
      </c>
      <c r="M22" s="213" t="e">
        <f t="shared" si="4"/>
        <v>#DIV/0!</v>
      </c>
      <c r="N22" s="98"/>
      <c r="O22" s="98">
        <f t="shared" si="21"/>
        <v>0</v>
      </c>
      <c r="P22" s="214" t="e">
        <f t="shared" si="5"/>
        <v>#DIV/0!</v>
      </c>
      <c r="Q22" s="98"/>
      <c r="R22" s="98">
        <f t="shared" si="22"/>
        <v>0</v>
      </c>
      <c r="S22" s="214" t="e">
        <f t="shared" si="6"/>
        <v>#DIV/0!</v>
      </c>
      <c r="T22" s="98"/>
      <c r="U22" s="98">
        <f t="shared" si="23"/>
        <v>0</v>
      </c>
      <c r="V22" s="214" t="e">
        <f t="shared" si="7"/>
        <v>#DIV/0!</v>
      </c>
      <c r="W22" s="98"/>
      <c r="X22" s="98">
        <f t="shared" si="24"/>
        <v>0</v>
      </c>
      <c r="Y22" s="214" t="e">
        <f t="shared" si="8"/>
        <v>#DIV/0!</v>
      </c>
      <c r="Z22" s="98"/>
      <c r="AA22" s="98">
        <f t="shared" si="25"/>
        <v>0</v>
      </c>
      <c r="AB22" s="214" t="e">
        <f t="shared" si="9"/>
        <v>#DIV/0!</v>
      </c>
      <c r="AC22" s="98"/>
      <c r="AD22" s="98">
        <f t="shared" si="26"/>
        <v>0</v>
      </c>
      <c r="AE22" s="214" t="e">
        <f t="shared" si="10"/>
        <v>#DIV/0!</v>
      </c>
      <c r="AF22" s="98"/>
      <c r="AG22" s="98">
        <f t="shared" si="27"/>
        <v>0</v>
      </c>
      <c r="AH22" s="214" t="e">
        <f t="shared" si="11"/>
        <v>#DIV/0!</v>
      </c>
      <c r="AI22" s="98"/>
      <c r="AJ22" s="98">
        <f t="shared" si="28"/>
        <v>0</v>
      </c>
      <c r="AK22" s="214" t="e">
        <f t="shared" si="12"/>
        <v>#DIV/0!</v>
      </c>
      <c r="AL22" s="98"/>
      <c r="AM22" s="98">
        <f t="shared" si="29"/>
        <v>0</v>
      </c>
      <c r="AN22" s="214" t="e">
        <f t="shared" si="13"/>
        <v>#DIV/0!</v>
      </c>
      <c r="AO22" s="98"/>
      <c r="AP22" s="98">
        <f t="shared" si="30"/>
        <v>0</v>
      </c>
      <c r="AQ22" s="214" t="e">
        <f t="shared" si="14"/>
        <v>#DIV/0!</v>
      </c>
      <c r="AR22" s="98"/>
      <c r="AS22" s="98">
        <f t="shared" si="31"/>
        <v>0</v>
      </c>
      <c r="AT22" s="214" t="e">
        <f t="shared" si="15"/>
        <v>#DIV/0!</v>
      </c>
      <c r="AU22" s="98"/>
      <c r="AV22" s="215">
        <f t="shared" si="32"/>
        <v>0</v>
      </c>
      <c r="AW22" s="214" t="e">
        <f t="shared" si="16"/>
        <v>#DIV/0!</v>
      </c>
      <c r="AX22" s="98">
        <f t="shared" si="17"/>
        <v>0</v>
      </c>
      <c r="AY22" s="204">
        <f t="shared" si="33"/>
        <v>0</v>
      </c>
      <c r="AZ22" s="214" t="e">
        <f t="shared" si="18"/>
        <v>#DIV/0!</v>
      </c>
      <c r="BA22" s="98">
        <f t="shared" si="19"/>
        <v>0</v>
      </c>
      <c r="BB22" s="204">
        <f t="shared" si="34"/>
        <v>0</v>
      </c>
    </row>
    <row r="23" spans="1:54" s="3" customFormat="1" ht="15" x14ac:dyDescent="0.2">
      <c r="A23" s="39" t="s">
        <v>712</v>
      </c>
      <c r="B23" s="87">
        <v>5622</v>
      </c>
      <c r="C23" s="37" t="s">
        <v>792</v>
      </c>
      <c r="D23" s="96" t="s">
        <v>846</v>
      </c>
      <c r="E23" s="28" t="s">
        <v>98</v>
      </c>
      <c r="F23" s="329">
        <v>2.67</v>
      </c>
      <c r="G23" s="85">
        <f>1450*0.6</f>
        <v>870</v>
      </c>
      <c r="H23" s="99">
        <f t="shared" si="20"/>
        <v>870</v>
      </c>
      <c r="I23" s="288">
        <f t="shared" si="0"/>
        <v>0</v>
      </c>
      <c r="J23" s="288">
        <f t="shared" si="1"/>
        <v>3.33</v>
      </c>
      <c r="K23" s="38">
        <f t="shared" si="2"/>
        <v>2897.1</v>
      </c>
      <c r="L23" s="206">
        <f t="shared" si="3"/>
        <v>0</v>
      </c>
      <c r="M23" s="213">
        <f t="shared" si="4"/>
        <v>0</v>
      </c>
      <c r="N23" s="98"/>
      <c r="O23" s="98">
        <f t="shared" si="21"/>
        <v>0</v>
      </c>
      <c r="P23" s="214">
        <f t="shared" si="5"/>
        <v>0</v>
      </c>
      <c r="Q23" s="98"/>
      <c r="R23" s="98">
        <f t="shared" si="22"/>
        <v>0</v>
      </c>
      <c r="S23" s="214">
        <f t="shared" si="6"/>
        <v>0</v>
      </c>
      <c r="T23" s="98"/>
      <c r="U23" s="98">
        <f t="shared" si="23"/>
        <v>0</v>
      </c>
      <c r="V23" s="214">
        <f t="shared" si="7"/>
        <v>0</v>
      </c>
      <c r="W23" s="98"/>
      <c r="X23" s="98">
        <f t="shared" si="24"/>
        <v>0</v>
      </c>
      <c r="Y23" s="214">
        <f t="shared" si="8"/>
        <v>0</v>
      </c>
      <c r="Z23" s="98"/>
      <c r="AA23" s="98">
        <f t="shared" si="25"/>
        <v>0</v>
      </c>
      <c r="AB23" s="214">
        <f t="shared" si="9"/>
        <v>0</v>
      </c>
      <c r="AC23" s="98"/>
      <c r="AD23" s="98">
        <f t="shared" si="26"/>
        <v>0</v>
      </c>
      <c r="AE23" s="214">
        <f t="shared" si="10"/>
        <v>0</v>
      </c>
      <c r="AF23" s="98"/>
      <c r="AG23" s="98">
        <f t="shared" si="27"/>
        <v>0</v>
      </c>
      <c r="AH23" s="214">
        <f t="shared" si="11"/>
        <v>0</v>
      </c>
      <c r="AI23" s="98"/>
      <c r="AJ23" s="98">
        <f t="shared" si="28"/>
        <v>0</v>
      </c>
      <c r="AK23" s="214">
        <f t="shared" si="12"/>
        <v>0</v>
      </c>
      <c r="AL23" s="98"/>
      <c r="AM23" s="98">
        <f t="shared" si="29"/>
        <v>0</v>
      </c>
      <c r="AN23" s="214">
        <f t="shared" si="13"/>
        <v>0</v>
      </c>
      <c r="AO23" s="98"/>
      <c r="AP23" s="98">
        <f t="shared" si="30"/>
        <v>0</v>
      </c>
      <c r="AQ23" s="214">
        <f t="shared" si="14"/>
        <v>0</v>
      </c>
      <c r="AR23" s="98"/>
      <c r="AS23" s="98">
        <f t="shared" si="31"/>
        <v>0</v>
      </c>
      <c r="AT23" s="214">
        <f t="shared" si="15"/>
        <v>0</v>
      </c>
      <c r="AU23" s="98"/>
      <c r="AV23" s="215">
        <f t="shared" si="32"/>
        <v>0</v>
      </c>
      <c r="AW23" s="214">
        <f t="shared" si="16"/>
        <v>0</v>
      </c>
      <c r="AX23" s="98">
        <f t="shared" si="17"/>
        <v>0</v>
      </c>
      <c r="AY23" s="204">
        <f t="shared" si="33"/>
        <v>0</v>
      </c>
      <c r="AZ23" s="214">
        <f t="shared" si="18"/>
        <v>100</v>
      </c>
      <c r="BA23" s="98">
        <f t="shared" si="19"/>
        <v>870</v>
      </c>
      <c r="BB23" s="204">
        <f t="shared" si="34"/>
        <v>2897.1</v>
      </c>
    </row>
    <row r="24" spans="1:54" s="3" customFormat="1" ht="15" x14ac:dyDescent="0.2">
      <c r="A24" s="39" t="s">
        <v>713</v>
      </c>
      <c r="B24" s="37" t="s">
        <v>847</v>
      </c>
      <c r="C24" s="375">
        <v>4</v>
      </c>
      <c r="D24" s="96" t="e">
        <f>#REF!</f>
        <v>#REF!</v>
      </c>
      <c r="E24" s="28" t="e">
        <f>#REF!</f>
        <v>#REF!</v>
      </c>
      <c r="F24" s="329" t="e">
        <f>#REF!</f>
        <v>#REF!</v>
      </c>
      <c r="G24" s="85">
        <v>1450</v>
      </c>
      <c r="H24" s="99">
        <f t="shared" si="20"/>
        <v>1450</v>
      </c>
      <c r="I24" s="288">
        <f t="shared" si="0"/>
        <v>0</v>
      </c>
      <c r="J24" s="288" t="e">
        <f t="shared" si="1"/>
        <v>#REF!</v>
      </c>
      <c r="K24" s="38" t="e">
        <f t="shared" si="2"/>
        <v>#REF!</v>
      </c>
      <c r="L24" s="206" t="e">
        <f t="shared" si="3"/>
        <v>#REF!</v>
      </c>
      <c r="M24" s="213">
        <f t="shared" si="4"/>
        <v>0</v>
      </c>
      <c r="N24" s="98"/>
      <c r="O24" s="98" t="e">
        <f t="shared" si="21"/>
        <v>#REF!</v>
      </c>
      <c r="P24" s="214">
        <f t="shared" si="5"/>
        <v>0</v>
      </c>
      <c r="Q24" s="98"/>
      <c r="R24" s="98" t="e">
        <f t="shared" si="22"/>
        <v>#REF!</v>
      </c>
      <c r="S24" s="214">
        <f t="shared" si="6"/>
        <v>0</v>
      </c>
      <c r="T24" s="98"/>
      <c r="U24" s="98" t="e">
        <f t="shared" si="23"/>
        <v>#REF!</v>
      </c>
      <c r="V24" s="214">
        <f t="shared" si="7"/>
        <v>0</v>
      </c>
      <c r="W24" s="98"/>
      <c r="X24" s="98" t="e">
        <f t="shared" si="24"/>
        <v>#REF!</v>
      </c>
      <c r="Y24" s="214">
        <f t="shared" si="8"/>
        <v>0</v>
      </c>
      <c r="Z24" s="98"/>
      <c r="AA24" s="98" t="e">
        <f t="shared" si="25"/>
        <v>#REF!</v>
      </c>
      <c r="AB24" s="214">
        <f t="shared" si="9"/>
        <v>0</v>
      </c>
      <c r="AC24" s="98"/>
      <c r="AD24" s="98" t="e">
        <f t="shared" si="26"/>
        <v>#REF!</v>
      </c>
      <c r="AE24" s="214">
        <f t="shared" si="10"/>
        <v>0</v>
      </c>
      <c r="AF24" s="98"/>
      <c r="AG24" s="98" t="e">
        <f t="shared" si="27"/>
        <v>#REF!</v>
      </c>
      <c r="AH24" s="214">
        <f t="shared" si="11"/>
        <v>0</v>
      </c>
      <c r="AI24" s="98"/>
      <c r="AJ24" s="98" t="e">
        <f t="shared" si="28"/>
        <v>#REF!</v>
      </c>
      <c r="AK24" s="214">
        <f t="shared" si="12"/>
        <v>0</v>
      </c>
      <c r="AL24" s="98"/>
      <c r="AM24" s="98" t="e">
        <f t="shared" si="29"/>
        <v>#REF!</v>
      </c>
      <c r="AN24" s="214">
        <f t="shared" si="13"/>
        <v>0</v>
      </c>
      <c r="AO24" s="98"/>
      <c r="AP24" s="98" t="e">
        <f t="shared" si="30"/>
        <v>#REF!</v>
      </c>
      <c r="AQ24" s="214">
        <f t="shared" si="14"/>
        <v>0</v>
      </c>
      <c r="AR24" s="98"/>
      <c r="AS24" s="98" t="e">
        <f t="shared" si="31"/>
        <v>#REF!</v>
      </c>
      <c r="AT24" s="214">
        <f t="shared" si="15"/>
        <v>0</v>
      </c>
      <c r="AU24" s="98"/>
      <c r="AV24" s="215" t="e">
        <f t="shared" si="32"/>
        <v>#REF!</v>
      </c>
      <c r="AW24" s="214">
        <f t="shared" si="16"/>
        <v>0</v>
      </c>
      <c r="AX24" s="98">
        <f t="shared" si="17"/>
        <v>0</v>
      </c>
      <c r="AY24" s="204" t="e">
        <f t="shared" si="33"/>
        <v>#REF!</v>
      </c>
      <c r="AZ24" s="214">
        <f t="shared" si="18"/>
        <v>100</v>
      </c>
      <c r="BA24" s="98">
        <f t="shared" si="19"/>
        <v>1450</v>
      </c>
      <c r="BB24" s="204" t="e">
        <f t="shared" si="34"/>
        <v>#REF!</v>
      </c>
    </row>
    <row r="25" spans="1:54" s="3" customFormat="1" ht="15" hidden="1" x14ac:dyDescent="0.2">
      <c r="A25" s="39" t="s">
        <v>848</v>
      </c>
      <c r="B25" s="87"/>
      <c r="C25" s="87"/>
      <c r="D25" s="96"/>
      <c r="E25" s="87"/>
      <c r="F25" s="329"/>
      <c r="G25" s="85"/>
      <c r="H25" s="99">
        <f t="shared" si="20"/>
        <v>0</v>
      </c>
      <c r="I25" s="288">
        <f t="shared" si="0"/>
        <v>0</v>
      </c>
      <c r="J25" s="288">
        <f t="shared" si="1"/>
        <v>0</v>
      </c>
      <c r="K25" s="38">
        <f t="shared" si="2"/>
        <v>0</v>
      </c>
      <c r="L25" s="206">
        <f t="shared" si="3"/>
        <v>0</v>
      </c>
      <c r="M25" s="213" t="e">
        <f t="shared" si="4"/>
        <v>#DIV/0!</v>
      </c>
      <c r="N25" s="98"/>
      <c r="O25" s="98">
        <f t="shared" si="21"/>
        <v>0</v>
      </c>
      <c r="P25" s="214" t="e">
        <f t="shared" si="5"/>
        <v>#DIV/0!</v>
      </c>
      <c r="Q25" s="98"/>
      <c r="R25" s="98">
        <f t="shared" si="22"/>
        <v>0</v>
      </c>
      <c r="S25" s="214" t="e">
        <f t="shared" si="6"/>
        <v>#DIV/0!</v>
      </c>
      <c r="T25" s="98"/>
      <c r="U25" s="98">
        <f t="shared" si="23"/>
        <v>0</v>
      </c>
      <c r="V25" s="214" t="e">
        <f t="shared" si="7"/>
        <v>#DIV/0!</v>
      </c>
      <c r="W25" s="98"/>
      <c r="X25" s="98">
        <f t="shared" si="24"/>
        <v>0</v>
      </c>
      <c r="Y25" s="214" t="e">
        <f t="shared" si="8"/>
        <v>#DIV/0!</v>
      </c>
      <c r="Z25" s="98"/>
      <c r="AA25" s="98">
        <f t="shared" si="25"/>
        <v>0</v>
      </c>
      <c r="AB25" s="214" t="e">
        <f t="shared" si="9"/>
        <v>#DIV/0!</v>
      </c>
      <c r="AC25" s="98"/>
      <c r="AD25" s="98">
        <f t="shared" si="26"/>
        <v>0</v>
      </c>
      <c r="AE25" s="214" t="e">
        <f t="shared" si="10"/>
        <v>#DIV/0!</v>
      </c>
      <c r="AF25" s="98"/>
      <c r="AG25" s="98">
        <f t="shared" si="27"/>
        <v>0</v>
      </c>
      <c r="AH25" s="214" t="e">
        <f t="shared" si="11"/>
        <v>#DIV/0!</v>
      </c>
      <c r="AI25" s="98"/>
      <c r="AJ25" s="98">
        <f t="shared" si="28"/>
        <v>0</v>
      </c>
      <c r="AK25" s="214" t="e">
        <f t="shared" si="12"/>
        <v>#DIV/0!</v>
      </c>
      <c r="AL25" s="98"/>
      <c r="AM25" s="98">
        <f t="shared" si="29"/>
        <v>0</v>
      </c>
      <c r="AN25" s="214" t="e">
        <f t="shared" si="13"/>
        <v>#DIV/0!</v>
      </c>
      <c r="AO25" s="98"/>
      <c r="AP25" s="98">
        <f t="shared" si="30"/>
        <v>0</v>
      </c>
      <c r="AQ25" s="214" t="e">
        <f t="shared" si="14"/>
        <v>#DIV/0!</v>
      </c>
      <c r="AR25" s="98"/>
      <c r="AS25" s="98">
        <f t="shared" si="31"/>
        <v>0</v>
      </c>
      <c r="AT25" s="214" t="e">
        <f t="shared" si="15"/>
        <v>#DIV/0!</v>
      </c>
      <c r="AU25" s="98"/>
      <c r="AV25" s="215">
        <f t="shared" si="32"/>
        <v>0</v>
      </c>
      <c r="AW25" s="214" t="e">
        <f t="shared" si="16"/>
        <v>#DIV/0!</v>
      </c>
      <c r="AX25" s="98">
        <f t="shared" si="17"/>
        <v>0</v>
      </c>
      <c r="AY25" s="204">
        <f t="shared" si="33"/>
        <v>0</v>
      </c>
      <c r="AZ25" s="214" t="e">
        <f t="shared" si="18"/>
        <v>#DIV/0!</v>
      </c>
      <c r="BA25" s="98">
        <f t="shared" si="19"/>
        <v>0</v>
      </c>
      <c r="BB25" s="204">
        <f t="shared" si="34"/>
        <v>0</v>
      </c>
    </row>
    <row r="26" spans="1:54" s="3" customFormat="1" ht="15" hidden="1" x14ac:dyDescent="0.2">
      <c r="A26" s="39" t="s">
        <v>849</v>
      </c>
      <c r="B26" s="87"/>
      <c r="C26" s="87"/>
      <c r="D26" s="96"/>
      <c r="E26" s="87"/>
      <c r="F26" s="329"/>
      <c r="G26" s="85"/>
      <c r="H26" s="99">
        <f t="shared" si="20"/>
        <v>0</v>
      </c>
      <c r="I26" s="288">
        <f t="shared" si="0"/>
        <v>0</v>
      </c>
      <c r="J26" s="288">
        <f t="shared" si="1"/>
        <v>0</v>
      </c>
      <c r="K26" s="38">
        <f t="shared" si="2"/>
        <v>0</v>
      </c>
      <c r="L26" s="206">
        <f t="shared" si="3"/>
        <v>0</v>
      </c>
      <c r="M26" s="213" t="e">
        <f t="shared" si="4"/>
        <v>#DIV/0!</v>
      </c>
      <c r="N26" s="98"/>
      <c r="O26" s="98">
        <f t="shared" si="21"/>
        <v>0</v>
      </c>
      <c r="P26" s="214" t="e">
        <f t="shared" si="5"/>
        <v>#DIV/0!</v>
      </c>
      <c r="Q26" s="98"/>
      <c r="R26" s="98">
        <f t="shared" si="22"/>
        <v>0</v>
      </c>
      <c r="S26" s="214" t="e">
        <f t="shared" si="6"/>
        <v>#DIV/0!</v>
      </c>
      <c r="T26" s="98"/>
      <c r="U26" s="98">
        <f t="shared" si="23"/>
        <v>0</v>
      </c>
      <c r="V26" s="214" t="e">
        <f t="shared" si="7"/>
        <v>#DIV/0!</v>
      </c>
      <c r="W26" s="98"/>
      <c r="X26" s="98">
        <f t="shared" si="24"/>
        <v>0</v>
      </c>
      <c r="Y26" s="214" t="e">
        <f t="shared" si="8"/>
        <v>#DIV/0!</v>
      </c>
      <c r="Z26" s="98"/>
      <c r="AA26" s="98">
        <f t="shared" si="25"/>
        <v>0</v>
      </c>
      <c r="AB26" s="214" t="e">
        <f t="shared" si="9"/>
        <v>#DIV/0!</v>
      </c>
      <c r="AC26" s="98"/>
      <c r="AD26" s="98">
        <f t="shared" si="26"/>
        <v>0</v>
      </c>
      <c r="AE26" s="214" t="e">
        <f t="shared" si="10"/>
        <v>#DIV/0!</v>
      </c>
      <c r="AF26" s="98"/>
      <c r="AG26" s="98">
        <f t="shared" si="27"/>
        <v>0</v>
      </c>
      <c r="AH26" s="214" t="e">
        <f t="shared" si="11"/>
        <v>#DIV/0!</v>
      </c>
      <c r="AI26" s="98"/>
      <c r="AJ26" s="98">
        <f t="shared" si="28"/>
        <v>0</v>
      </c>
      <c r="AK26" s="214" t="e">
        <f t="shared" si="12"/>
        <v>#DIV/0!</v>
      </c>
      <c r="AL26" s="98"/>
      <c r="AM26" s="98">
        <f t="shared" si="29"/>
        <v>0</v>
      </c>
      <c r="AN26" s="214" t="e">
        <f t="shared" si="13"/>
        <v>#DIV/0!</v>
      </c>
      <c r="AO26" s="98"/>
      <c r="AP26" s="98">
        <f t="shared" si="30"/>
        <v>0</v>
      </c>
      <c r="AQ26" s="214" t="e">
        <f t="shared" si="14"/>
        <v>#DIV/0!</v>
      </c>
      <c r="AR26" s="98"/>
      <c r="AS26" s="98">
        <f t="shared" si="31"/>
        <v>0</v>
      </c>
      <c r="AT26" s="214" t="e">
        <f t="shared" si="15"/>
        <v>#DIV/0!</v>
      </c>
      <c r="AU26" s="98"/>
      <c r="AV26" s="215">
        <f t="shared" si="32"/>
        <v>0</v>
      </c>
      <c r="AW26" s="214" t="e">
        <f t="shared" si="16"/>
        <v>#DIV/0!</v>
      </c>
      <c r="AX26" s="98">
        <f t="shared" si="17"/>
        <v>0</v>
      </c>
      <c r="AY26" s="204">
        <f t="shared" si="33"/>
        <v>0</v>
      </c>
      <c r="AZ26" s="214" t="e">
        <f t="shared" si="18"/>
        <v>#DIV/0!</v>
      </c>
      <c r="BA26" s="98">
        <f t="shared" si="19"/>
        <v>0</v>
      </c>
      <c r="BB26" s="204">
        <f t="shared" si="34"/>
        <v>0</v>
      </c>
    </row>
    <row r="27" spans="1:54" s="3" customFormat="1" ht="15" hidden="1" x14ac:dyDescent="0.2">
      <c r="A27" s="39" t="s">
        <v>850</v>
      </c>
      <c r="B27" s="37"/>
      <c r="C27" s="37"/>
      <c r="D27" s="97"/>
      <c r="E27" s="28"/>
      <c r="F27" s="342"/>
      <c r="G27" s="85"/>
      <c r="H27" s="99">
        <f t="shared" si="20"/>
        <v>0</v>
      </c>
      <c r="I27" s="288">
        <f t="shared" si="0"/>
        <v>0</v>
      </c>
      <c r="J27" s="288">
        <f t="shared" si="1"/>
        <v>0</v>
      </c>
      <c r="K27" s="38">
        <f t="shared" si="2"/>
        <v>0</v>
      </c>
      <c r="L27" s="206">
        <f t="shared" si="3"/>
        <v>0</v>
      </c>
      <c r="M27" s="213" t="e">
        <f t="shared" si="4"/>
        <v>#DIV/0!</v>
      </c>
      <c r="N27" s="98"/>
      <c r="O27" s="98">
        <f t="shared" si="21"/>
        <v>0</v>
      </c>
      <c r="P27" s="214" t="e">
        <f t="shared" si="5"/>
        <v>#DIV/0!</v>
      </c>
      <c r="Q27" s="98"/>
      <c r="R27" s="98">
        <f t="shared" si="22"/>
        <v>0</v>
      </c>
      <c r="S27" s="214" t="e">
        <f t="shared" si="6"/>
        <v>#DIV/0!</v>
      </c>
      <c r="T27" s="98"/>
      <c r="U27" s="98">
        <f t="shared" si="23"/>
        <v>0</v>
      </c>
      <c r="V27" s="214" t="e">
        <f t="shared" si="7"/>
        <v>#DIV/0!</v>
      </c>
      <c r="W27" s="98"/>
      <c r="X27" s="98">
        <f t="shared" si="24"/>
        <v>0</v>
      </c>
      <c r="Y27" s="214" t="e">
        <f t="shared" si="8"/>
        <v>#DIV/0!</v>
      </c>
      <c r="Z27" s="98"/>
      <c r="AA27" s="98">
        <f t="shared" si="25"/>
        <v>0</v>
      </c>
      <c r="AB27" s="214" t="e">
        <f t="shared" si="9"/>
        <v>#DIV/0!</v>
      </c>
      <c r="AC27" s="98"/>
      <c r="AD27" s="98">
        <f t="shared" si="26"/>
        <v>0</v>
      </c>
      <c r="AE27" s="214" t="e">
        <f t="shared" si="10"/>
        <v>#DIV/0!</v>
      </c>
      <c r="AF27" s="98"/>
      <c r="AG27" s="98">
        <f t="shared" si="27"/>
        <v>0</v>
      </c>
      <c r="AH27" s="214" t="e">
        <f t="shared" si="11"/>
        <v>#DIV/0!</v>
      </c>
      <c r="AI27" s="98"/>
      <c r="AJ27" s="98">
        <f t="shared" si="28"/>
        <v>0</v>
      </c>
      <c r="AK27" s="214" t="e">
        <f t="shared" si="12"/>
        <v>#DIV/0!</v>
      </c>
      <c r="AL27" s="98"/>
      <c r="AM27" s="98">
        <f t="shared" si="29"/>
        <v>0</v>
      </c>
      <c r="AN27" s="214" t="e">
        <f t="shared" si="13"/>
        <v>#DIV/0!</v>
      </c>
      <c r="AO27" s="98"/>
      <c r="AP27" s="98">
        <f t="shared" si="30"/>
        <v>0</v>
      </c>
      <c r="AQ27" s="214" t="e">
        <f t="shared" si="14"/>
        <v>#DIV/0!</v>
      </c>
      <c r="AR27" s="98"/>
      <c r="AS27" s="98">
        <f t="shared" si="31"/>
        <v>0</v>
      </c>
      <c r="AT27" s="214" t="e">
        <f t="shared" si="15"/>
        <v>#DIV/0!</v>
      </c>
      <c r="AU27" s="98"/>
      <c r="AV27" s="215">
        <f t="shared" si="32"/>
        <v>0</v>
      </c>
      <c r="AW27" s="214" t="e">
        <f t="shared" si="16"/>
        <v>#DIV/0!</v>
      </c>
      <c r="AX27" s="98">
        <f t="shared" si="17"/>
        <v>0</v>
      </c>
      <c r="AY27" s="204">
        <f t="shared" si="33"/>
        <v>0</v>
      </c>
      <c r="AZ27" s="214" t="e">
        <f t="shared" si="18"/>
        <v>#DIV/0!</v>
      </c>
      <c r="BA27" s="98">
        <f t="shared" si="19"/>
        <v>0</v>
      </c>
      <c r="BB27" s="204">
        <f t="shared" si="34"/>
        <v>0</v>
      </c>
    </row>
    <row r="28" spans="1:54" s="3" customFormat="1" ht="15" hidden="1" x14ac:dyDescent="0.2">
      <c r="A28" s="39" t="s">
        <v>851</v>
      </c>
      <c r="B28" s="87"/>
      <c r="C28" s="87"/>
      <c r="D28" s="102"/>
      <c r="E28" s="28"/>
      <c r="F28" s="329"/>
      <c r="G28" s="85"/>
      <c r="H28" s="99">
        <f t="shared" si="20"/>
        <v>0</v>
      </c>
      <c r="I28" s="288">
        <f t="shared" si="0"/>
        <v>0</v>
      </c>
      <c r="J28" s="288">
        <f t="shared" si="1"/>
        <v>0</v>
      </c>
      <c r="K28" s="38">
        <f t="shared" si="2"/>
        <v>0</v>
      </c>
      <c r="L28" s="206">
        <f t="shared" si="3"/>
        <v>0</v>
      </c>
      <c r="M28" s="213" t="e">
        <f t="shared" si="4"/>
        <v>#DIV/0!</v>
      </c>
      <c r="N28" s="98"/>
      <c r="O28" s="98">
        <f t="shared" si="21"/>
        <v>0</v>
      </c>
      <c r="P28" s="214" t="e">
        <f t="shared" si="5"/>
        <v>#DIV/0!</v>
      </c>
      <c r="Q28" s="98"/>
      <c r="R28" s="98">
        <f t="shared" si="22"/>
        <v>0</v>
      </c>
      <c r="S28" s="214" t="e">
        <f t="shared" si="6"/>
        <v>#DIV/0!</v>
      </c>
      <c r="T28" s="98"/>
      <c r="U28" s="98">
        <f t="shared" si="23"/>
        <v>0</v>
      </c>
      <c r="V28" s="214" t="e">
        <f t="shared" si="7"/>
        <v>#DIV/0!</v>
      </c>
      <c r="W28" s="98"/>
      <c r="X28" s="98">
        <f t="shared" si="24"/>
        <v>0</v>
      </c>
      <c r="Y28" s="214" t="e">
        <f t="shared" si="8"/>
        <v>#DIV/0!</v>
      </c>
      <c r="Z28" s="98"/>
      <c r="AA28" s="98">
        <f t="shared" si="25"/>
        <v>0</v>
      </c>
      <c r="AB28" s="214" t="e">
        <f t="shared" si="9"/>
        <v>#DIV/0!</v>
      </c>
      <c r="AC28" s="98"/>
      <c r="AD28" s="98">
        <f t="shared" si="26"/>
        <v>0</v>
      </c>
      <c r="AE28" s="214" t="e">
        <f t="shared" si="10"/>
        <v>#DIV/0!</v>
      </c>
      <c r="AF28" s="98"/>
      <c r="AG28" s="98">
        <f t="shared" si="27"/>
        <v>0</v>
      </c>
      <c r="AH28" s="214" t="e">
        <f t="shared" si="11"/>
        <v>#DIV/0!</v>
      </c>
      <c r="AI28" s="98"/>
      <c r="AJ28" s="98">
        <f t="shared" si="28"/>
        <v>0</v>
      </c>
      <c r="AK28" s="214" t="e">
        <f t="shared" si="12"/>
        <v>#DIV/0!</v>
      </c>
      <c r="AL28" s="98"/>
      <c r="AM28" s="98">
        <f t="shared" si="29"/>
        <v>0</v>
      </c>
      <c r="AN28" s="214" t="e">
        <f t="shared" si="13"/>
        <v>#DIV/0!</v>
      </c>
      <c r="AO28" s="98"/>
      <c r="AP28" s="98">
        <f t="shared" si="30"/>
        <v>0</v>
      </c>
      <c r="AQ28" s="214" t="e">
        <f t="shared" si="14"/>
        <v>#DIV/0!</v>
      </c>
      <c r="AR28" s="98"/>
      <c r="AS28" s="98">
        <f t="shared" si="31"/>
        <v>0</v>
      </c>
      <c r="AT28" s="214" t="e">
        <f t="shared" si="15"/>
        <v>#DIV/0!</v>
      </c>
      <c r="AU28" s="98"/>
      <c r="AV28" s="215">
        <f t="shared" si="32"/>
        <v>0</v>
      </c>
      <c r="AW28" s="214" t="e">
        <f t="shared" si="16"/>
        <v>#DIV/0!</v>
      </c>
      <c r="AX28" s="98">
        <f t="shared" si="17"/>
        <v>0</v>
      </c>
      <c r="AY28" s="204">
        <f t="shared" si="33"/>
        <v>0</v>
      </c>
      <c r="AZ28" s="214" t="e">
        <f t="shared" si="18"/>
        <v>#DIV/0!</v>
      </c>
      <c r="BA28" s="98">
        <f t="shared" si="19"/>
        <v>0</v>
      </c>
      <c r="BB28" s="204">
        <f t="shared" si="34"/>
        <v>0</v>
      </c>
    </row>
    <row r="29" spans="1:54" s="3" customFormat="1" ht="15" hidden="1" x14ac:dyDescent="0.2">
      <c r="A29" s="39" t="s">
        <v>852</v>
      </c>
      <c r="B29" s="87"/>
      <c r="C29" s="87"/>
      <c r="D29" s="102"/>
      <c r="E29" s="87"/>
      <c r="F29" s="329"/>
      <c r="G29" s="85"/>
      <c r="H29" s="99">
        <f t="shared" si="20"/>
        <v>0</v>
      </c>
      <c r="I29" s="288">
        <f t="shared" si="0"/>
        <v>0</v>
      </c>
      <c r="J29" s="288">
        <f t="shared" si="1"/>
        <v>0</v>
      </c>
      <c r="K29" s="38">
        <f t="shared" si="2"/>
        <v>0</v>
      </c>
      <c r="L29" s="206">
        <f t="shared" si="3"/>
        <v>0</v>
      </c>
      <c r="M29" s="213" t="e">
        <f t="shared" si="4"/>
        <v>#DIV/0!</v>
      </c>
      <c r="N29" s="98"/>
      <c r="O29" s="98">
        <f t="shared" si="21"/>
        <v>0</v>
      </c>
      <c r="P29" s="214" t="e">
        <f t="shared" si="5"/>
        <v>#DIV/0!</v>
      </c>
      <c r="Q29" s="98"/>
      <c r="R29" s="98">
        <f t="shared" si="22"/>
        <v>0</v>
      </c>
      <c r="S29" s="214" t="e">
        <f t="shared" si="6"/>
        <v>#DIV/0!</v>
      </c>
      <c r="T29" s="98"/>
      <c r="U29" s="98">
        <f t="shared" si="23"/>
        <v>0</v>
      </c>
      <c r="V29" s="214" t="e">
        <f t="shared" si="7"/>
        <v>#DIV/0!</v>
      </c>
      <c r="W29" s="98"/>
      <c r="X29" s="98">
        <f t="shared" si="24"/>
        <v>0</v>
      </c>
      <c r="Y29" s="214" t="e">
        <f t="shared" si="8"/>
        <v>#DIV/0!</v>
      </c>
      <c r="Z29" s="98"/>
      <c r="AA29" s="98">
        <f t="shared" si="25"/>
        <v>0</v>
      </c>
      <c r="AB29" s="214" t="e">
        <f t="shared" si="9"/>
        <v>#DIV/0!</v>
      </c>
      <c r="AC29" s="98"/>
      <c r="AD29" s="98">
        <f t="shared" si="26"/>
        <v>0</v>
      </c>
      <c r="AE29" s="214" t="e">
        <f t="shared" si="10"/>
        <v>#DIV/0!</v>
      </c>
      <c r="AF29" s="98"/>
      <c r="AG29" s="98">
        <f t="shared" si="27"/>
        <v>0</v>
      </c>
      <c r="AH29" s="214" t="e">
        <f t="shared" si="11"/>
        <v>#DIV/0!</v>
      </c>
      <c r="AI29" s="98"/>
      <c r="AJ29" s="98">
        <f t="shared" si="28"/>
        <v>0</v>
      </c>
      <c r="AK29" s="214" t="e">
        <f t="shared" si="12"/>
        <v>#DIV/0!</v>
      </c>
      <c r="AL29" s="98"/>
      <c r="AM29" s="98">
        <f t="shared" si="29"/>
        <v>0</v>
      </c>
      <c r="AN29" s="214" t="e">
        <f t="shared" si="13"/>
        <v>#DIV/0!</v>
      </c>
      <c r="AO29" s="98"/>
      <c r="AP29" s="98">
        <f t="shared" si="30"/>
        <v>0</v>
      </c>
      <c r="AQ29" s="214" t="e">
        <f t="shared" si="14"/>
        <v>#DIV/0!</v>
      </c>
      <c r="AR29" s="98"/>
      <c r="AS29" s="98">
        <f t="shared" si="31"/>
        <v>0</v>
      </c>
      <c r="AT29" s="214" t="e">
        <f t="shared" si="15"/>
        <v>#DIV/0!</v>
      </c>
      <c r="AU29" s="98"/>
      <c r="AV29" s="215">
        <f t="shared" si="32"/>
        <v>0</v>
      </c>
      <c r="AW29" s="214" t="e">
        <f t="shared" si="16"/>
        <v>#DIV/0!</v>
      </c>
      <c r="AX29" s="98">
        <f t="shared" si="17"/>
        <v>0</v>
      </c>
      <c r="AY29" s="204">
        <f t="shared" si="33"/>
        <v>0</v>
      </c>
      <c r="AZ29" s="214" t="e">
        <f t="shared" si="18"/>
        <v>#DIV/0!</v>
      </c>
      <c r="BA29" s="98">
        <f t="shared" si="19"/>
        <v>0</v>
      </c>
      <c r="BB29" s="204">
        <f t="shared" si="34"/>
        <v>0</v>
      </c>
    </row>
    <row r="30" spans="1:54" s="3" customFormat="1" ht="15" hidden="1" x14ac:dyDescent="0.2">
      <c r="A30" s="39" t="s">
        <v>853</v>
      </c>
      <c r="B30" s="87"/>
      <c r="C30" s="87"/>
      <c r="D30" s="102"/>
      <c r="E30" s="87"/>
      <c r="F30" s="329"/>
      <c r="G30" s="85"/>
      <c r="H30" s="99">
        <f t="shared" si="20"/>
        <v>0</v>
      </c>
      <c r="I30" s="288">
        <f t="shared" si="0"/>
        <v>0</v>
      </c>
      <c r="J30" s="288">
        <f t="shared" si="1"/>
        <v>0</v>
      </c>
      <c r="K30" s="38">
        <f t="shared" si="2"/>
        <v>0</v>
      </c>
      <c r="L30" s="206">
        <f t="shared" si="3"/>
        <v>0</v>
      </c>
      <c r="M30" s="213" t="e">
        <f t="shared" si="4"/>
        <v>#DIV/0!</v>
      </c>
      <c r="N30" s="98"/>
      <c r="O30" s="98">
        <f t="shared" si="21"/>
        <v>0</v>
      </c>
      <c r="P30" s="214" t="e">
        <f t="shared" si="5"/>
        <v>#DIV/0!</v>
      </c>
      <c r="Q30" s="98"/>
      <c r="R30" s="98">
        <f t="shared" si="22"/>
        <v>0</v>
      </c>
      <c r="S30" s="214" t="e">
        <f t="shared" si="6"/>
        <v>#DIV/0!</v>
      </c>
      <c r="T30" s="98"/>
      <c r="U30" s="98">
        <f t="shared" si="23"/>
        <v>0</v>
      </c>
      <c r="V30" s="214" t="e">
        <f t="shared" si="7"/>
        <v>#DIV/0!</v>
      </c>
      <c r="W30" s="98"/>
      <c r="X30" s="98">
        <f t="shared" si="24"/>
        <v>0</v>
      </c>
      <c r="Y30" s="214" t="e">
        <f t="shared" si="8"/>
        <v>#DIV/0!</v>
      </c>
      <c r="Z30" s="98"/>
      <c r="AA30" s="98">
        <f t="shared" si="25"/>
        <v>0</v>
      </c>
      <c r="AB30" s="214" t="e">
        <f t="shared" si="9"/>
        <v>#DIV/0!</v>
      </c>
      <c r="AC30" s="98"/>
      <c r="AD30" s="98">
        <f t="shared" si="26"/>
        <v>0</v>
      </c>
      <c r="AE30" s="214" t="e">
        <f t="shared" si="10"/>
        <v>#DIV/0!</v>
      </c>
      <c r="AF30" s="98"/>
      <c r="AG30" s="98">
        <f t="shared" si="27"/>
        <v>0</v>
      </c>
      <c r="AH30" s="214" t="e">
        <f t="shared" si="11"/>
        <v>#DIV/0!</v>
      </c>
      <c r="AI30" s="98"/>
      <c r="AJ30" s="98">
        <f t="shared" si="28"/>
        <v>0</v>
      </c>
      <c r="AK30" s="214" t="e">
        <f t="shared" si="12"/>
        <v>#DIV/0!</v>
      </c>
      <c r="AL30" s="98"/>
      <c r="AM30" s="98">
        <f t="shared" si="29"/>
        <v>0</v>
      </c>
      <c r="AN30" s="214" t="e">
        <f t="shared" si="13"/>
        <v>#DIV/0!</v>
      </c>
      <c r="AO30" s="98"/>
      <c r="AP30" s="98">
        <f t="shared" si="30"/>
        <v>0</v>
      </c>
      <c r="AQ30" s="214" t="e">
        <f t="shared" si="14"/>
        <v>#DIV/0!</v>
      </c>
      <c r="AR30" s="98"/>
      <c r="AS30" s="98">
        <f t="shared" si="31"/>
        <v>0</v>
      </c>
      <c r="AT30" s="214" t="e">
        <f t="shared" si="15"/>
        <v>#DIV/0!</v>
      </c>
      <c r="AU30" s="98"/>
      <c r="AV30" s="215">
        <f t="shared" si="32"/>
        <v>0</v>
      </c>
      <c r="AW30" s="214" t="e">
        <f t="shared" si="16"/>
        <v>#DIV/0!</v>
      </c>
      <c r="AX30" s="98">
        <f t="shared" si="17"/>
        <v>0</v>
      </c>
      <c r="AY30" s="204">
        <f t="shared" si="33"/>
        <v>0</v>
      </c>
      <c r="AZ30" s="214" t="e">
        <f t="shared" si="18"/>
        <v>#DIV/0!</v>
      </c>
      <c r="BA30" s="98">
        <f t="shared" si="19"/>
        <v>0</v>
      </c>
      <c r="BB30" s="204">
        <f t="shared" si="34"/>
        <v>0</v>
      </c>
    </row>
    <row r="31" spans="1:54" s="3" customFormat="1" ht="15" hidden="1" x14ac:dyDescent="0.2">
      <c r="A31" s="39" t="s">
        <v>854</v>
      </c>
      <c r="B31" s="87"/>
      <c r="C31" s="87"/>
      <c r="D31" s="102"/>
      <c r="E31" s="87"/>
      <c r="F31" s="329"/>
      <c r="G31" s="85"/>
      <c r="H31" s="99">
        <f>G31</f>
        <v>0</v>
      </c>
      <c r="I31" s="288">
        <f t="shared" si="0"/>
        <v>0</v>
      </c>
      <c r="J31" s="288">
        <f t="shared" si="1"/>
        <v>0</v>
      </c>
      <c r="K31" s="38">
        <f t="shared" si="2"/>
        <v>0</v>
      </c>
      <c r="L31" s="206">
        <f t="shared" si="3"/>
        <v>0</v>
      </c>
      <c r="M31" s="213" t="e">
        <f t="shared" si="4"/>
        <v>#DIV/0!</v>
      </c>
      <c r="N31" s="98"/>
      <c r="O31" s="98">
        <f>TRUNC(N31*$J31,2)</f>
        <v>0</v>
      </c>
      <c r="P31" s="214" t="e">
        <f t="shared" si="5"/>
        <v>#DIV/0!</v>
      </c>
      <c r="Q31" s="98"/>
      <c r="R31" s="98">
        <f>TRUNC(Q31*$J31,2)</f>
        <v>0</v>
      </c>
      <c r="S31" s="214" t="e">
        <f t="shared" si="6"/>
        <v>#DIV/0!</v>
      </c>
      <c r="T31" s="98"/>
      <c r="U31" s="98">
        <f>TRUNC(T31*$J31,2)</f>
        <v>0</v>
      </c>
      <c r="V31" s="214" t="e">
        <f t="shared" si="7"/>
        <v>#DIV/0!</v>
      </c>
      <c r="W31" s="98"/>
      <c r="X31" s="98">
        <f>TRUNC(W31*$J31,2)</f>
        <v>0</v>
      </c>
      <c r="Y31" s="214" t="e">
        <f t="shared" si="8"/>
        <v>#DIV/0!</v>
      </c>
      <c r="Z31" s="98"/>
      <c r="AA31" s="98">
        <f>TRUNC(Z31*$J31,2)</f>
        <v>0</v>
      </c>
      <c r="AB31" s="214" t="e">
        <f t="shared" si="9"/>
        <v>#DIV/0!</v>
      </c>
      <c r="AC31" s="98"/>
      <c r="AD31" s="98">
        <f>TRUNC(AC31*$J31,2)</f>
        <v>0</v>
      </c>
      <c r="AE31" s="214" t="e">
        <f t="shared" si="10"/>
        <v>#DIV/0!</v>
      </c>
      <c r="AF31" s="98"/>
      <c r="AG31" s="98">
        <f>TRUNC(AF31*$J31,2)</f>
        <v>0</v>
      </c>
      <c r="AH31" s="214" t="e">
        <f t="shared" si="11"/>
        <v>#DIV/0!</v>
      </c>
      <c r="AI31" s="98"/>
      <c r="AJ31" s="98">
        <f>TRUNC(AI31*$J31,2)</f>
        <v>0</v>
      </c>
      <c r="AK31" s="214" t="e">
        <f t="shared" si="12"/>
        <v>#DIV/0!</v>
      </c>
      <c r="AL31" s="98"/>
      <c r="AM31" s="98">
        <f>TRUNC(AL31*$J31,2)</f>
        <v>0</v>
      </c>
      <c r="AN31" s="214" t="e">
        <f t="shared" si="13"/>
        <v>#DIV/0!</v>
      </c>
      <c r="AO31" s="98"/>
      <c r="AP31" s="98">
        <f>TRUNC(AO31*$J31,2)</f>
        <v>0</v>
      </c>
      <c r="AQ31" s="214" t="e">
        <f t="shared" si="14"/>
        <v>#DIV/0!</v>
      </c>
      <c r="AR31" s="98"/>
      <c r="AS31" s="98">
        <f>TRUNC(AR31*$J31,2)</f>
        <v>0</v>
      </c>
      <c r="AT31" s="214" t="e">
        <f t="shared" si="15"/>
        <v>#DIV/0!</v>
      </c>
      <c r="AU31" s="98"/>
      <c r="AV31" s="215">
        <f>TRUNC(AU31*$J31,2)</f>
        <v>0</v>
      </c>
      <c r="AW31" s="214" t="e">
        <f t="shared" si="16"/>
        <v>#DIV/0!</v>
      </c>
      <c r="AX31" s="98">
        <f t="shared" si="17"/>
        <v>0</v>
      </c>
      <c r="AY31" s="204">
        <f>TRUNC(AX31*$J31,2)</f>
        <v>0</v>
      </c>
      <c r="AZ31" s="214" t="e">
        <f t="shared" si="18"/>
        <v>#DIV/0!</v>
      </c>
      <c r="BA31" s="98">
        <f t="shared" si="19"/>
        <v>0</v>
      </c>
      <c r="BB31" s="204">
        <f>TRUNC(BA31*$J31,2)</f>
        <v>0</v>
      </c>
    </row>
    <row r="32" spans="1:54" s="3" customFormat="1" ht="15" hidden="1" x14ac:dyDescent="0.2">
      <c r="A32" s="39" t="s">
        <v>855</v>
      </c>
      <c r="B32" s="87"/>
      <c r="C32" s="87"/>
      <c r="D32" s="102"/>
      <c r="E32" s="28"/>
      <c r="F32" s="329"/>
      <c r="G32" s="85"/>
      <c r="H32" s="99">
        <f t="shared" ref="H32:H37" si="35">G32</f>
        <v>0</v>
      </c>
      <c r="I32" s="288">
        <f t="shared" si="0"/>
        <v>0</v>
      </c>
      <c r="J32" s="288">
        <f t="shared" si="1"/>
        <v>0</v>
      </c>
      <c r="K32" s="38">
        <f t="shared" si="2"/>
        <v>0</v>
      </c>
      <c r="L32" s="206">
        <f t="shared" si="3"/>
        <v>0</v>
      </c>
      <c r="M32" s="213" t="e">
        <f t="shared" si="4"/>
        <v>#DIV/0!</v>
      </c>
      <c r="N32" s="98"/>
      <c r="O32" s="98">
        <f t="shared" ref="O32:O37" si="36">TRUNC(N32*$J32,2)</f>
        <v>0</v>
      </c>
      <c r="P32" s="214" t="e">
        <f t="shared" si="5"/>
        <v>#DIV/0!</v>
      </c>
      <c r="Q32" s="98"/>
      <c r="R32" s="98">
        <f t="shared" ref="R32:R37" si="37">TRUNC(Q32*$J32,2)</f>
        <v>0</v>
      </c>
      <c r="S32" s="214" t="e">
        <f t="shared" si="6"/>
        <v>#DIV/0!</v>
      </c>
      <c r="T32" s="98"/>
      <c r="U32" s="98">
        <f t="shared" ref="U32:U37" si="38">TRUNC(T32*$J32,2)</f>
        <v>0</v>
      </c>
      <c r="V32" s="214" t="e">
        <f t="shared" si="7"/>
        <v>#DIV/0!</v>
      </c>
      <c r="W32" s="98"/>
      <c r="X32" s="98">
        <f t="shared" ref="X32:X37" si="39">TRUNC(W32*$J32,2)</f>
        <v>0</v>
      </c>
      <c r="Y32" s="214" t="e">
        <f t="shared" si="8"/>
        <v>#DIV/0!</v>
      </c>
      <c r="Z32" s="98"/>
      <c r="AA32" s="98">
        <f t="shared" ref="AA32:AA37" si="40">TRUNC(Z32*$J32,2)</f>
        <v>0</v>
      </c>
      <c r="AB32" s="214" t="e">
        <f t="shared" si="9"/>
        <v>#DIV/0!</v>
      </c>
      <c r="AC32" s="98"/>
      <c r="AD32" s="98">
        <f t="shared" ref="AD32:AD37" si="41">TRUNC(AC32*$J32,2)</f>
        <v>0</v>
      </c>
      <c r="AE32" s="214" t="e">
        <f t="shared" si="10"/>
        <v>#DIV/0!</v>
      </c>
      <c r="AF32" s="98"/>
      <c r="AG32" s="98">
        <f t="shared" ref="AG32:AG37" si="42">TRUNC(AF32*$J32,2)</f>
        <v>0</v>
      </c>
      <c r="AH32" s="214" t="e">
        <f t="shared" si="11"/>
        <v>#DIV/0!</v>
      </c>
      <c r="AI32" s="98"/>
      <c r="AJ32" s="98">
        <f t="shared" ref="AJ32:AJ37" si="43">TRUNC(AI32*$J32,2)</f>
        <v>0</v>
      </c>
      <c r="AK32" s="214" t="e">
        <f t="shared" si="12"/>
        <v>#DIV/0!</v>
      </c>
      <c r="AL32" s="98"/>
      <c r="AM32" s="98">
        <f t="shared" ref="AM32:AM37" si="44">TRUNC(AL32*$J32,2)</f>
        <v>0</v>
      </c>
      <c r="AN32" s="214" t="e">
        <f t="shared" si="13"/>
        <v>#DIV/0!</v>
      </c>
      <c r="AO32" s="98"/>
      <c r="AP32" s="98">
        <f t="shared" ref="AP32:AP37" si="45">TRUNC(AO32*$J32,2)</f>
        <v>0</v>
      </c>
      <c r="AQ32" s="214" t="e">
        <f t="shared" si="14"/>
        <v>#DIV/0!</v>
      </c>
      <c r="AR32" s="98"/>
      <c r="AS32" s="98">
        <f t="shared" ref="AS32:AS37" si="46">TRUNC(AR32*$J32,2)</f>
        <v>0</v>
      </c>
      <c r="AT32" s="214" t="e">
        <f t="shared" si="15"/>
        <v>#DIV/0!</v>
      </c>
      <c r="AU32" s="98"/>
      <c r="AV32" s="215">
        <f t="shared" ref="AV32:AV37" si="47">TRUNC(AU32*$J32,2)</f>
        <v>0</v>
      </c>
      <c r="AW32" s="214" t="e">
        <f t="shared" si="16"/>
        <v>#DIV/0!</v>
      </c>
      <c r="AX32" s="98">
        <f t="shared" si="17"/>
        <v>0</v>
      </c>
      <c r="AY32" s="204">
        <f t="shared" ref="AY32:AY37" si="48">TRUNC(AX32*$J32,2)</f>
        <v>0</v>
      </c>
      <c r="AZ32" s="214" t="e">
        <f t="shared" si="18"/>
        <v>#DIV/0!</v>
      </c>
      <c r="BA32" s="98">
        <f t="shared" si="19"/>
        <v>0</v>
      </c>
      <c r="BB32" s="204">
        <f t="shared" ref="BB32:BB37" si="49">TRUNC(BA32*$J32,2)</f>
        <v>0</v>
      </c>
    </row>
    <row r="33" spans="1:54" s="3" customFormat="1" ht="15" hidden="1" x14ac:dyDescent="0.2">
      <c r="A33" s="39" t="s">
        <v>856</v>
      </c>
      <c r="B33" s="338"/>
      <c r="C33" s="28"/>
      <c r="D33" s="58"/>
      <c r="E33" s="28"/>
      <c r="F33" s="329"/>
      <c r="G33" s="85"/>
      <c r="H33" s="99">
        <f t="shared" si="35"/>
        <v>0</v>
      </c>
      <c r="I33" s="288">
        <f t="shared" si="0"/>
        <v>0</v>
      </c>
      <c r="J33" s="288">
        <f t="shared" si="1"/>
        <v>0</v>
      </c>
      <c r="K33" s="38">
        <f t="shared" si="2"/>
        <v>0</v>
      </c>
      <c r="L33" s="206">
        <f t="shared" si="3"/>
        <v>0</v>
      </c>
      <c r="M33" s="213" t="e">
        <f t="shared" si="4"/>
        <v>#DIV/0!</v>
      </c>
      <c r="N33" s="98"/>
      <c r="O33" s="98">
        <f t="shared" si="36"/>
        <v>0</v>
      </c>
      <c r="P33" s="214" t="e">
        <f t="shared" si="5"/>
        <v>#DIV/0!</v>
      </c>
      <c r="Q33" s="98"/>
      <c r="R33" s="98">
        <f t="shared" si="37"/>
        <v>0</v>
      </c>
      <c r="S33" s="214" t="e">
        <f t="shared" si="6"/>
        <v>#DIV/0!</v>
      </c>
      <c r="T33" s="98"/>
      <c r="U33" s="98">
        <f t="shared" si="38"/>
        <v>0</v>
      </c>
      <c r="V33" s="214" t="e">
        <f t="shared" si="7"/>
        <v>#DIV/0!</v>
      </c>
      <c r="W33" s="98"/>
      <c r="X33" s="98">
        <f t="shared" si="39"/>
        <v>0</v>
      </c>
      <c r="Y33" s="214" t="e">
        <f t="shared" si="8"/>
        <v>#DIV/0!</v>
      </c>
      <c r="Z33" s="98"/>
      <c r="AA33" s="98">
        <f t="shared" si="40"/>
        <v>0</v>
      </c>
      <c r="AB33" s="214" t="e">
        <f t="shared" si="9"/>
        <v>#DIV/0!</v>
      </c>
      <c r="AC33" s="98"/>
      <c r="AD33" s="98">
        <f t="shared" si="41"/>
        <v>0</v>
      </c>
      <c r="AE33" s="214" t="e">
        <f t="shared" si="10"/>
        <v>#DIV/0!</v>
      </c>
      <c r="AF33" s="98"/>
      <c r="AG33" s="98">
        <f t="shared" si="42"/>
        <v>0</v>
      </c>
      <c r="AH33" s="214" t="e">
        <f t="shared" si="11"/>
        <v>#DIV/0!</v>
      </c>
      <c r="AI33" s="98"/>
      <c r="AJ33" s="98">
        <f t="shared" si="43"/>
        <v>0</v>
      </c>
      <c r="AK33" s="214" t="e">
        <f t="shared" si="12"/>
        <v>#DIV/0!</v>
      </c>
      <c r="AL33" s="98"/>
      <c r="AM33" s="98">
        <f t="shared" si="44"/>
        <v>0</v>
      </c>
      <c r="AN33" s="214" t="e">
        <f t="shared" si="13"/>
        <v>#DIV/0!</v>
      </c>
      <c r="AO33" s="98"/>
      <c r="AP33" s="98">
        <f t="shared" si="45"/>
        <v>0</v>
      </c>
      <c r="AQ33" s="214" t="e">
        <f t="shared" si="14"/>
        <v>#DIV/0!</v>
      </c>
      <c r="AR33" s="98"/>
      <c r="AS33" s="98">
        <f t="shared" si="46"/>
        <v>0</v>
      </c>
      <c r="AT33" s="214" t="e">
        <f t="shared" si="15"/>
        <v>#DIV/0!</v>
      </c>
      <c r="AU33" s="98"/>
      <c r="AV33" s="215">
        <f t="shared" si="47"/>
        <v>0</v>
      </c>
      <c r="AW33" s="214" t="e">
        <f t="shared" si="16"/>
        <v>#DIV/0!</v>
      </c>
      <c r="AX33" s="98">
        <f t="shared" si="17"/>
        <v>0</v>
      </c>
      <c r="AY33" s="204">
        <f t="shared" si="48"/>
        <v>0</v>
      </c>
      <c r="AZ33" s="214" t="e">
        <f t="shared" si="18"/>
        <v>#DIV/0!</v>
      </c>
      <c r="BA33" s="98">
        <f t="shared" si="19"/>
        <v>0</v>
      </c>
      <c r="BB33" s="204">
        <f t="shared" si="49"/>
        <v>0</v>
      </c>
    </row>
    <row r="34" spans="1:54" s="3" customFormat="1" ht="15" hidden="1" x14ac:dyDescent="0.2">
      <c r="A34" s="39" t="s">
        <v>857</v>
      </c>
      <c r="B34" s="338"/>
      <c r="C34" s="28"/>
      <c r="D34" s="58"/>
      <c r="E34" s="28"/>
      <c r="F34" s="329"/>
      <c r="G34" s="85"/>
      <c r="H34" s="99">
        <f t="shared" si="35"/>
        <v>0</v>
      </c>
      <c r="I34" s="288">
        <f t="shared" si="0"/>
        <v>0</v>
      </c>
      <c r="J34" s="288">
        <f t="shared" si="1"/>
        <v>0</v>
      </c>
      <c r="K34" s="38">
        <f t="shared" si="2"/>
        <v>0</v>
      </c>
      <c r="L34" s="206">
        <f t="shared" si="3"/>
        <v>0</v>
      </c>
      <c r="M34" s="213" t="e">
        <f t="shared" si="4"/>
        <v>#DIV/0!</v>
      </c>
      <c r="N34" s="98"/>
      <c r="O34" s="98">
        <f t="shared" si="36"/>
        <v>0</v>
      </c>
      <c r="P34" s="214" t="e">
        <f t="shared" si="5"/>
        <v>#DIV/0!</v>
      </c>
      <c r="Q34" s="98"/>
      <c r="R34" s="98">
        <f t="shared" si="37"/>
        <v>0</v>
      </c>
      <c r="S34" s="214" t="e">
        <f t="shared" si="6"/>
        <v>#DIV/0!</v>
      </c>
      <c r="T34" s="98"/>
      <c r="U34" s="98">
        <f t="shared" si="38"/>
        <v>0</v>
      </c>
      <c r="V34" s="214" t="e">
        <f t="shared" si="7"/>
        <v>#DIV/0!</v>
      </c>
      <c r="W34" s="98"/>
      <c r="X34" s="98">
        <f t="shared" si="39"/>
        <v>0</v>
      </c>
      <c r="Y34" s="214" t="e">
        <f t="shared" si="8"/>
        <v>#DIV/0!</v>
      </c>
      <c r="Z34" s="98"/>
      <c r="AA34" s="98">
        <f t="shared" si="40"/>
        <v>0</v>
      </c>
      <c r="AB34" s="214" t="e">
        <f t="shared" si="9"/>
        <v>#DIV/0!</v>
      </c>
      <c r="AC34" s="98"/>
      <c r="AD34" s="98">
        <f t="shared" si="41"/>
        <v>0</v>
      </c>
      <c r="AE34" s="214" t="e">
        <f t="shared" si="10"/>
        <v>#DIV/0!</v>
      </c>
      <c r="AF34" s="98"/>
      <c r="AG34" s="98">
        <f t="shared" si="42"/>
        <v>0</v>
      </c>
      <c r="AH34" s="214" t="e">
        <f t="shared" si="11"/>
        <v>#DIV/0!</v>
      </c>
      <c r="AI34" s="98"/>
      <c r="AJ34" s="98">
        <f t="shared" si="43"/>
        <v>0</v>
      </c>
      <c r="AK34" s="214" t="e">
        <f t="shared" si="12"/>
        <v>#DIV/0!</v>
      </c>
      <c r="AL34" s="98"/>
      <c r="AM34" s="98">
        <f t="shared" si="44"/>
        <v>0</v>
      </c>
      <c r="AN34" s="214" t="e">
        <f t="shared" si="13"/>
        <v>#DIV/0!</v>
      </c>
      <c r="AO34" s="98"/>
      <c r="AP34" s="98">
        <f t="shared" si="45"/>
        <v>0</v>
      </c>
      <c r="AQ34" s="214" t="e">
        <f t="shared" si="14"/>
        <v>#DIV/0!</v>
      </c>
      <c r="AR34" s="98"/>
      <c r="AS34" s="98">
        <f t="shared" si="46"/>
        <v>0</v>
      </c>
      <c r="AT34" s="214" t="e">
        <f t="shared" si="15"/>
        <v>#DIV/0!</v>
      </c>
      <c r="AU34" s="98"/>
      <c r="AV34" s="215">
        <f t="shared" si="47"/>
        <v>0</v>
      </c>
      <c r="AW34" s="214" t="e">
        <f t="shared" si="16"/>
        <v>#DIV/0!</v>
      </c>
      <c r="AX34" s="98">
        <f t="shared" si="17"/>
        <v>0</v>
      </c>
      <c r="AY34" s="204">
        <f t="shared" si="48"/>
        <v>0</v>
      </c>
      <c r="AZ34" s="214" t="e">
        <f t="shared" si="18"/>
        <v>#DIV/0!</v>
      </c>
      <c r="BA34" s="98">
        <f t="shared" si="19"/>
        <v>0</v>
      </c>
      <c r="BB34" s="204">
        <f t="shared" si="49"/>
        <v>0</v>
      </c>
    </row>
    <row r="35" spans="1:54" s="3" customFormat="1" ht="28.5" x14ac:dyDescent="0.2">
      <c r="A35" s="39" t="s">
        <v>714</v>
      </c>
      <c r="B35" s="87">
        <v>83446</v>
      </c>
      <c r="C35" s="87" t="s">
        <v>792</v>
      </c>
      <c r="D35" s="373" t="s">
        <v>858</v>
      </c>
      <c r="E35" s="28" t="s">
        <v>110</v>
      </c>
      <c r="F35" s="329">
        <v>96.35</v>
      </c>
      <c r="G35" s="85">
        <v>1</v>
      </c>
      <c r="H35" s="99">
        <f t="shared" si="35"/>
        <v>1</v>
      </c>
      <c r="I35" s="288">
        <f t="shared" si="0"/>
        <v>0</v>
      </c>
      <c r="J35" s="288">
        <f t="shared" si="1"/>
        <v>120.1</v>
      </c>
      <c r="K35" s="38">
        <f t="shared" si="2"/>
        <v>120.1</v>
      </c>
      <c r="L35" s="206">
        <f t="shared" si="3"/>
        <v>0</v>
      </c>
      <c r="M35" s="213">
        <f t="shared" si="4"/>
        <v>0</v>
      </c>
      <c r="N35" s="98"/>
      <c r="O35" s="98">
        <f t="shared" si="36"/>
        <v>0</v>
      </c>
      <c r="P35" s="214">
        <f t="shared" si="5"/>
        <v>0</v>
      </c>
      <c r="Q35" s="98"/>
      <c r="R35" s="98">
        <f t="shared" si="37"/>
        <v>0</v>
      </c>
      <c r="S35" s="214">
        <f t="shared" si="6"/>
        <v>0</v>
      </c>
      <c r="T35" s="98"/>
      <c r="U35" s="98">
        <f t="shared" si="38"/>
        <v>0</v>
      </c>
      <c r="V35" s="214">
        <f t="shared" si="7"/>
        <v>0</v>
      </c>
      <c r="W35" s="98"/>
      <c r="X35" s="98">
        <f t="shared" si="39"/>
        <v>0</v>
      </c>
      <c r="Y35" s="214">
        <f t="shared" si="8"/>
        <v>0</v>
      </c>
      <c r="Z35" s="98"/>
      <c r="AA35" s="98">
        <f t="shared" si="40"/>
        <v>0</v>
      </c>
      <c r="AB35" s="214">
        <f t="shared" si="9"/>
        <v>0</v>
      </c>
      <c r="AC35" s="98"/>
      <c r="AD35" s="98">
        <f t="shared" si="41"/>
        <v>0</v>
      </c>
      <c r="AE35" s="214">
        <f t="shared" si="10"/>
        <v>0</v>
      </c>
      <c r="AF35" s="98"/>
      <c r="AG35" s="98">
        <f t="shared" si="42"/>
        <v>0</v>
      </c>
      <c r="AH35" s="214">
        <f t="shared" si="11"/>
        <v>0</v>
      </c>
      <c r="AI35" s="98"/>
      <c r="AJ35" s="98">
        <f t="shared" si="43"/>
        <v>0</v>
      </c>
      <c r="AK35" s="214">
        <f t="shared" si="12"/>
        <v>0</v>
      </c>
      <c r="AL35" s="98"/>
      <c r="AM35" s="98">
        <f t="shared" si="44"/>
        <v>0</v>
      </c>
      <c r="AN35" s="214">
        <f t="shared" si="13"/>
        <v>0</v>
      </c>
      <c r="AO35" s="98"/>
      <c r="AP35" s="98">
        <f t="shared" si="45"/>
        <v>0</v>
      </c>
      <c r="AQ35" s="214">
        <f t="shared" si="14"/>
        <v>0</v>
      </c>
      <c r="AR35" s="98"/>
      <c r="AS35" s="98">
        <f t="shared" si="46"/>
        <v>0</v>
      </c>
      <c r="AT35" s="214">
        <f t="shared" si="15"/>
        <v>0</v>
      </c>
      <c r="AU35" s="98"/>
      <c r="AV35" s="215">
        <f t="shared" si="47"/>
        <v>0</v>
      </c>
      <c r="AW35" s="214">
        <f t="shared" si="16"/>
        <v>0</v>
      </c>
      <c r="AX35" s="98">
        <f t="shared" si="17"/>
        <v>0</v>
      </c>
      <c r="AY35" s="204">
        <f t="shared" si="48"/>
        <v>0</v>
      </c>
      <c r="AZ35" s="214">
        <f t="shared" si="18"/>
        <v>100</v>
      </c>
      <c r="BA35" s="98">
        <f t="shared" si="19"/>
        <v>1</v>
      </c>
      <c r="BB35" s="204">
        <f t="shared" si="49"/>
        <v>120.1</v>
      </c>
    </row>
    <row r="36" spans="1:54" s="3" customFormat="1" ht="15" x14ac:dyDescent="0.2">
      <c r="A36" s="39" t="s">
        <v>859</v>
      </c>
      <c r="B36" s="338" t="s">
        <v>860</v>
      </c>
      <c r="C36" s="28" t="s">
        <v>792</v>
      </c>
      <c r="D36" s="58" t="s">
        <v>861</v>
      </c>
      <c r="E36" s="28" t="s">
        <v>110</v>
      </c>
      <c r="F36" s="329">
        <v>192.28</v>
      </c>
      <c r="G36" s="85">
        <v>1</v>
      </c>
      <c r="H36" s="99">
        <f t="shared" si="35"/>
        <v>1</v>
      </c>
      <c r="I36" s="288">
        <f t="shared" si="0"/>
        <v>0</v>
      </c>
      <c r="J36" s="288">
        <f t="shared" si="1"/>
        <v>239.68</v>
      </c>
      <c r="K36" s="38">
        <f t="shared" si="2"/>
        <v>239.68</v>
      </c>
      <c r="L36" s="206">
        <f t="shared" si="3"/>
        <v>0</v>
      </c>
      <c r="M36" s="213">
        <f t="shared" si="4"/>
        <v>0</v>
      </c>
      <c r="N36" s="98"/>
      <c r="O36" s="98">
        <f t="shared" si="36"/>
        <v>0</v>
      </c>
      <c r="P36" s="214">
        <f t="shared" si="5"/>
        <v>0</v>
      </c>
      <c r="Q36" s="98"/>
      <c r="R36" s="98">
        <f t="shared" si="37"/>
        <v>0</v>
      </c>
      <c r="S36" s="214">
        <f t="shared" si="6"/>
        <v>0</v>
      </c>
      <c r="T36" s="98"/>
      <c r="U36" s="98">
        <f t="shared" si="38"/>
        <v>0</v>
      </c>
      <c r="V36" s="214">
        <f t="shared" si="7"/>
        <v>0</v>
      </c>
      <c r="W36" s="98"/>
      <c r="X36" s="98">
        <f t="shared" si="39"/>
        <v>0</v>
      </c>
      <c r="Y36" s="214">
        <f t="shared" si="8"/>
        <v>0</v>
      </c>
      <c r="Z36" s="98"/>
      <c r="AA36" s="98">
        <f t="shared" si="40"/>
        <v>0</v>
      </c>
      <c r="AB36" s="214">
        <f t="shared" si="9"/>
        <v>0</v>
      </c>
      <c r="AC36" s="98"/>
      <c r="AD36" s="98">
        <f t="shared" si="41"/>
        <v>0</v>
      </c>
      <c r="AE36" s="214">
        <f t="shared" si="10"/>
        <v>0</v>
      </c>
      <c r="AF36" s="98"/>
      <c r="AG36" s="98">
        <f t="shared" si="42"/>
        <v>0</v>
      </c>
      <c r="AH36" s="214">
        <f t="shared" si="11"/>
        <v>0</v>
      </c>
      <c r="AI36" s="98"/>
      <c r="AJ36" s="98">
        <f t="shared" si="43"/>
        <v>0</v>
      </c>
      <c r="AK36" s="214">
        <f t="shared" si="12"/>
        <v>0</v>
      </c>
      <c r="AL36" s="98"/>
      <c r="AM36" s="98">
        <f t="shared" si="44"/>
        <v>0</v>
      </c>
      <c r="AN36" s="214">
        <f t="shared" si="13"/>
        <v>0</v>
      </c>
      <c r="AO36" s="98"/>
      <c r="AP36" s="98">
        <f t="shared" si="45"/>
        <v>0</v>
      </c>
      <c r="AQ36" s="214">
        <f t="shared" si="14"/>
        <v>0</v>
      </c>
      <c r="AR36" s="98"/>
      <c r="AS36" s="98">
        <f t="shared" si="46"/>
        <v>0</v>
      </c>
      <c r="AT36" s="214">
        <f t="shared" si="15"/>
        <v>0</v>
      </c>
      <c r="AU36" s="98"/>
      <c r="AV36" s="215">
        <f t="shared" si="47"/>
        <v>0</v>
      </c>
      <c r="AW36" s="214">
        <f t="shared" si="16"/>
        <v>0</v>
      </c>
      <c r="AX36" s="98">
        <f t="shared" si="17"/>
        <v>0</v>
      </c>
      <c r="AY36" s="204">
        <f t="shared" si="48"/>
        <v>0</v>
      </c>
      <c r="AZ36" s="214">
        <f t="shared" si="18"/>
        <v>100</v>
      </c>
      <c r="BA36" s="98">
        <f t="shared" si="19"/>
        <v>1</v>
      </c>
      <c r="BB36" s="204">
        <f t="shared" si="49"/>
        <v>239.68</v>
      </c>
    </row>
    <row r="37" spans="1:54" s="3" customFormat="1" ht="15" x14ac:dyDescent="0.2">
      <c r="A37" s="39" t="s">
        <v>845</v>
      </c>
      <c r="B37" s="87" t="s">
        <v>862</v>
      </c>
      <c r="C37" s="87" t="s">
        <v>792</v>
      </c>
      <c r="D37" s="96" t="s">
        <v>863</v>
      </c>
      <c r="E37" s="87" t="s">
        <v>275</v>
      </c>
      <c r="F37" s="329">
        <v>12.61</v>
      </c>
      <c r="G37" s="85">
        <f>14*6</f>
        <v>84</v>
      </c>
      <c r="H37" s="99">
        <f t="shared" si="35"/>
        <v>84</v>
      </c>
      <c r="I37" s="288">
        <f t="shared" si="0"/>
        <v>0</v>
      </c>
      <c r="J37" s="288">
        <f t="shared" si="1"/>
        <v>15.72</v>
      </c>
      <c r="K37" s="38">
        <f t="shared" si="2"/>
        <v>1320.48</v>
      </c>
      <c r="L37" s="206">
        <f t="shared" si="3"/>
        <v>0</v>
      </c>
      <c r="M37" s="213">
        <f t="shared" si="4"/>
        <v>0</v>
      </c>
      <c r="N37" s="98"/>
      <c r="O37" s="98">
        <f t="shared" si="36"/>
        <v>0</v>
      </c>
      <c r="P37" s="214">
        <f t="shared" si="5"/>
        <v>0</v>
      </c>
      <c r="Q37" s="98"/>
      <c r="R37" s="98">
        <f t="shared" si="37"/>
        <v>0</v>
      </c>
      <c r="S37" s="214">
        <f t="shared" si="6"/>
        <v>0</v>
      </c>
      <c r="T37" s="98"/>
      <c r="U37" s="98">
        <f t="shared" si="38"/>
        <v>0</v>
      </c>
      <c r="V37" s="214">
        <f t="shared" si="7"/>
        <v>0</v>
      </c>
      <c r="W37" s="98"/>
      <c r="X37" s="98">
        <f t="shared" si="39"/>
        <v>0</v>
      </c>
      <c r="Y37" s="214">
        <f t="shared" si="8"/>
        <v>0</v>
      </c>
      <c r="Z37" s="98"/>
      <c r="AA37" s="98">
        <f t="shared" si="40"/>
        <v>0</v>
      </c>
      <c r="AB37" s="214">
        <f t="shared" si="9"/>
        <v>0</v>
      </c>
      <c r="AC37" s="98"/>
      <c r="AD37" s="98">
        <f t="shared" si="41"/>
        <v>0</v>
      </c>
      <c r="AE37" s="214">
        <f t="shared" si="10"/>
        <v>0</v>
      </c>
      <c r="AF37" s="98"/>
      <c r="AG37" s="98">
        <f t="shared" si="42"/>
        <v>0</v>
      </c>
      <c r="AH37" s="214">
        <f t="shared" si="11"/>
        <v>0</v>
      </c>
      <c r="AI37" s="98"/>
      <c r="AJ37" s="98">
        <f t="shared" si="43"/>
        <v>0</v>
      </c>
      <c r="AK37" s="214">
        <f t="shared" si="12"/>
        <v>0</v>
      </c>
      <c r="AL37" s="98"/>
      <c r="AM37" s="98">
        <f t="shared" si="44"/>
        <v>0</v>
      </c>
      <c r="AN37" s="214">
        <f t="shared" si="13"/>
        <v>0</v>
      </c>
      <c r="AO37" s="98"/>
      <c r="AP37" s="98">
        <f t="shared" si="45"/>
        <v>0</v>
      </c>
      <c r="AQ37" s="214">
        <f t="shared" si="14"/>
        <v>0</v>
      </c>
      <c r="AR37" s="98"/>
      <c r="AS37" s="98">
        <f t="shared" si="46"/>
        <v>0</v>
      </c>
      <c r="AT37" s="214">
        <f t="shared" si="15"/>
        <v>0</v>
      </c>
      <c r="AU37" s="98"/>
      <c r="AV37" s="215">
        <f t="shared" si="47"/>
        <v>0</v>
      </c>
      <c r="AW37" s="214">
        <f t="shared" si="16"/>
        <v>0</v>
      </c>
      <c r="AX37" s="98">
        <f t="shared" si="17"/>
        <v>0</v>
      </c>
      <c r="AY37" s="204">
        <f t="shared" si="48"/>
        <v>0</v>
      </c>
      <c r="AZ37" s="214">
        <f t="shared" si="18"/>
        <v>100</v>
      </c>
      <c r="BA37" s="98">
        <f t="shared" si="19"/>
        <v>84</v>
      </c>
      <c r="BB37" s="204">
        <f t="shared" si="49"/>
        <v>1320.48</v>
      </c>
    </row>
    <row r="38" spans="1:54" s="3" customFormat="1" ht="15" x14ac:dyDescent="0.2">
      <c r="A38" s="39" t="s">
        <v>864</v>
      </c>
      <c r="B38" s="87" t="s">
        <v>865</v>
      </c>
      <c r="C38" s="87" t="s">
        <v>792</v>
      </c>
      <c r="D38" s="96" t="s">
        <v>866</v>
      </c>
      <c r="E38" s="28" t="s">
        <v>110</v>
      </c>
      <c r="F38" s="329">
        <v>46.34</v>
      </c>
      <c r="G38" s="85">
        <v>14</v>
      </c>
      <c r="H38" s="99">
        <f>G38</f>
        <v>14</v>
      </c>
      <c r="I38" s="288">
        <f t="shared" si="0"/>
        <v>0</v>
      </c>
      <c r="J38" s="288">
        <f t="shared" si="1"/>
        <v>57.76</v>
      </c>
      <c r="K38" s="38">
        <f t="shared" si="2"/>
        <v>808.64</v>
      </c>
      <c r="L38" s="206">
        <f t="shared" si="3"/>
        <v>0</v>
      </c>
      <c r="M38" s="213">
        <f t="shared" si="4"/>
        <v>0</v>
      </c>
      <c r="N38" s="98"/>
      <c r="O38" s="98">
        <f>TRUNC(N38*$J38,2)</f>
        <v>0</v>
      </c>
      <c r="P38" s="214">
        <f t="shared" si="5"/>
        <v>0</v>
      </c>
      <c r="Q38" s="98"/>
      <c r="R38" s="98">
        <f>TRUNC(Q38*$J38,2)</f>
        <v>0</v>
      </c>
      <c r="S38" s="214">
        <f t="shared" si="6"/>
        <v>0</v>
      </c>
      <c r="T38" s="98"/>
      <c r="U38" s="98">
        <f>TRUNC(T38*$J38,2)</f>
        <v>0</v>
      </c>
      <c r="V38" s="214">
        <f t="shared" si="7"/>
        <v>0</v>
      </c>
      <c r="W38" s="98"/>
      <c r="X38" s="98">
        <f>TRUNC(W38*$J38,2)</f>
        <v>0</v>
      </c>
      <c r="Y38" s="214">
        <f t="shared" si="8"/>
        <v>0</v>
      </c>
      <c r="Z38" s="98"/>
      <c r="AA38" s="98">
        <f>TRUNC(Z38*$J38,2)</f>
        <v>0</v>
      </c>
      <c r="AB38" s="214">
        <f t="shared" si="9"/>
        <v>0</v>
      </c>
      <c r="AC38" s="98"/>
      <c r="AD38" s="98">
        <f>TRUNC(AC38*$J38,2)</f>
        <v>0</v>
      </c>
      <c r="AE38" s="214">
        <f t="shared" si="10"/>
        <v>0</v>
      </c>
      <c r="AF38" s="98"/>
      <c r="AG38" s="98">
        <f>TRUNC(AF38*$J38,2)</f>
        <v>0</v>
      </c>
      <c r="AH38" s="214">
        <f t="shared" si="11"/>
        <v>0</v>
      </c>
      <c r="AI38" s="98"/>
      <c r="AJ38" s="98">
        <f>TRUNC(AI38*$J38,2)</f>
        <v>0</v>
      </c>
      <c r="AK38" s="214">
        <f t="shared" si="12"/>
        <v>0</v>
      </c>
      <c r="AL38" s="98"/>
      <c r="AM38" s="98">
        <f>TRUNC(AL38*$J38,2)</f>
        <v>0</v>
      </c>
      <c r="AN38" s="214">
        <f t="shared" si="13"/>
        <v>0</v>
      </c>
      <c r="AO38" s="98"/>
      <c r="AP38" s="98">
        <f>TRUNC(AO38*$J38,2)</f>
        <v>0</v>
      </c>
      <c r="AQ38" s="214">
        <f t="shared" si="14"/>
        <v>0</v>
      </c>
      <c r="AR38" s="98"/>
      <c r="AS38" s="98">
        <f>TRUNC(AR38*$J38,2)</f>
        <v>0</v>
      </c>
      <c r="AT38" s="214">
        <f t="shared" si="15"/>
        <v>0</v>
      </c>
      <c r="AU38" s="98"/>
      <c r="AV38" s="215">
        <f>TRUNC(AU38*$J38,2)</f>
        <v>0</v>
      </c>
      <c r="AW38" s="214">
        <f t="shared" si="16"/>
        <v>0</v>
      </c>
      <c r="AX38" s="98">
        <f t="shared" si="17"/>
        <v>0</v>
      </c>
      <c r="AY38" s="204">
        <f>TRUNC(AX38*$J38,2)</f>
        <v>0</v>
      </c>
      <c r="AZ38" s="214">
        <f t="shared" si="18"/>
        <v>100</v>
      </c>
      <c r="BA38" s="98">
        <f t="shared" si="19"/>
        <v>14</v>
      </c>
      <c r="BB38" s="204">
        <f>TRUNC(BA38*$J38,2)</f>
        <v>808.64</v>
      </c>
    </row>
    <row r="39" spans="1:54" s="3" customFormat="1" ht="15" x14ac:dyDescent="0.2">
      <c r="A39" s="39"/>
      <c r="B39" s="87"/>
      <c r="C39" s="87"/>
      <c r="D39" s="58"/>
      <c r="E39" s="28"/>
      <c r="F39" s="329"/>
      <c r="G39" s="749" t="s">
        <v>479</v>
      </c>
      <c r="H39" s="749"/>
      <c r="I39" s="749"/>
      <c r="J39" s="749"/>
      <c r="K39" s="23" t="e">
        <f>SUM(K13:K38)</f>
        <v>#REF!</v>
      </c>
      <c r="L39" s="23" t="e">
        <f>SUM(L13:L38)</f>
        <v>#REF!</v>
      </c>
      <c r="M39" s="750" t="s">
        <v>479</v>
      </c>
      <c r="N39" s="751"/>
      <c r="O39" s="208" t="e">
        <f>SUM(O13:O38)</f>
        <v>#REF!</v>
      </c>
      <c r="P39" s="750" t="s">
        <v>479</v>
      </c>
      <c r="Q39" s="751"/>
      <c r="R39" s="208" t="e">
        <f>SUM(R13:R38)</f>
        <v>#REF!</v>
      </c>
      <c r="S39" s="750" t="s">
        <v>479</v>
      </c>
      <c r="T39" s="751"/>
      <c r="U39" s="208" t="e">
        <f>SUM(U13:U38)</f>
        <v>#REF!</v>
      </c>
      <c r="V39" s="750" t="s">
        <v>479</v>
      </c>
      <c r="W39" s="751"/>
      <c r="X39" s="208" t="e">
        <f>SUM(X13:X38)</f>
        <v>#REF!</v>
      </c>
      <c r="Y39" s="750" t="s">
        <v>479</v>
      </c>
      <c r="Z39" s="751"/>
      <c r="AA39" s="208" t="e">
        <f>SUM(AA13:AA38)</f>
        <v>#REF!</v>
      </c>
      <c r="AB39" s="750" t="s">
        <v>479</v>
      </c>
      <c r="AC39" s="751"/>
      <c r="AD39" s="208" t="e">
        <f>SUM(AD13:AD38)</f>
        <v>#REF!</v>
      </c>
      <c r="AE39" s="750" t="s">
        <v>479</v>
      </c>
      <c r="AF39" s="751"/>
      <c r="AG39" s="208" t="e">
        <f>SUM(AG13:AG38)</f>
        <v>#REF!</v>
      </c>
      <c r="AH39" s="750" t="s">
        <v>479</v>
      </c>
      <c r="AI39" s="751"/>
      <c r="AJ39" s="208" t="e">
        <f>SUM(AJ13:AJ38)</f>
        <v>#REF!</v>
      </c>
      <c r="AK39" s="750" t="s">
        <v>479</v>
      </c>
      <c r="AL39" s="751"/>
      <c r="AM39" s="208" t="e">
        <f>SUM(AM13:AM38)</f>
        <v>#REF!</v>
      </c>
      <c r="AN39" s="750" t="s">
        <v>479</v>
      </c>
      <c r="AO39" s="751"/>
      <c r="AP39" s="208" t="e">
        <f>SUM(AP13:AP38)</f>
        <v>#REF!</v>
      </c>
      <c r="AQ39" s="750" t="s">
        <v>479</v>
      </c>
      <c r="AR39" s="751"/>
      <c r="AS39" s="208" t="e">
        <f>SUM(AS13:AS38)</f>
        <v>#REF!</v>
      </c>
      <c r="AT39" s="750" t="s">
        <v>479</v>
      </c>
      <c r="AU39" s="751"/>
      <c r="AV39" s="208" t="e">
        <f>SUM(AV13:AV38)</f>
        <v>#REF!</v>
      </c>
      <c r="AW39" s="750" t="s">
        <v>479</v>
      </c>
      <c r="AX39" s="751"/>
      <c r="AY39" s="208" t="e">
        <f>SUM(AY13:AY38)</f>
        <v>#REF!</v>
      </c>
      <c r="AZ39" s="753" t="s">
        <v>479</v>
      </c>
      <c r="BA39" s="751"/>
      <c r="BB39" s="208" t="e">
        <f>SUM(BB13:BB38)</f>
        <v>#REF!</v>
      </c>
    </row>
    <row r="40" spans="1:54" s="3" customFormat="1" ht="14.25" customHeight="1" thickBot="1" x14ac:dyDescent="0.25">
      <c r="A40" s="59"/>
      <c r="B40" s="60"/>
      <c r="C40" s="60"/>
      <c r="D40" s="61" t="str">
        <f>RESUMO!A22</f>
        <v>CUIABÁ - MT, 04 DE NOVEMBRO DE 2022</v>
      </c>
      <c r="E40" s="61"/>
      <c r="F40" s="61"/>
      <c r="G40" s="754" t="s">
        <v>480</v>
      </c>
      <c r="H40" s="754"/>
      <c r="I40" s="754"/>
      <c r="J40" s="754"/>
      <c r="K40" s="372" t="e">
        <f>SUM(K13:K39)/2</f>
        <v>#REF!</v>
      </c>
      <c r="L40" s="372" t="e">
        <f>SUM(L13:L39)/2</f>
        <v>#REF!</v>
      </c>
      <c r="M40" s="755" t="s">
        <v>480</v>
      </c>
      <c r="N40" s="653"/>
      <c r="O40" s="372" t="e">
        <f>SUM(O13:O39)/2</f>
        <v>#REF!</v>
      </c>
      <c r="P40" s="752" t="s">
        <v>480</v>
      </c>
      <c r="Q40" s="653"/>
      <c r="R40" s="372" t="e">
        <f>SUM(R13:R39)/2</f>
        <v>#REF!</v>
      </c>
      <c r="S40" s="752" t="s">
        <v>480</v>
      </c>
      <c r="T40" s="653"/>
      <c r="U40" s="372" t="e">
        <f>SUM(U13:U39)/2</f>
        <v>#REF!</v>
      </c>
      <c r="V40" s="752" t="s">
        <v>480</v>
      </c>
      <c r="W40" s="653"/>
      <c r="X40" s="372" t="e">
        <f>SUM(X13:X39)/2</f>
        <v>#REF!</v>
      </c>
      <c r="Y40" s="752" t="s">
        <v>480</v>
      </c>
      <c r="Z40" s="653"/>
      <c r="AA40" s="372" t="e">
        <f>SUM(AA13:AA39)/2</f>
        <v>#REF!</v>
      </c>
      <c r="AB40" s="752" t="s">
        <v>480</v>
      </c>
      <c r="AC40" s="653"/>
      <c r="AD40" s="372" t="e">
        <f>SUM(AD13:AD39)/2</f>
        <v>#REF!</v>
      </c>
      <c r="AE40" s="752" t="s">
        <v>480</v>
      </c>
      <c r="AF40" s="653"/>
      <c r="AG40" s="372" t="e">
        <f>SUM(AG13:AG39)/2</f>
        <v>#REF!</v>
      </c>
      <c r="AH40" s="752" t="s">
        <v>480</v>
      </c>
      <c r="AI40" s="653"/>
      <c r="AJ40" s="372" t="e">
        <f>SUM(AJ13:AJ39)/2</f>
        <v>#REF!</v>
      </c>
      <c r="AK40" s="752" t="s">
        <v>480</v>
      </c>
      <c r="AL40" s="653"/>
      <c r="AM40" s="372" t="e">
        <f>SUM(AM13:AM39)/2</f>
        <v>#REF!</v>
      </c>
      <c r="AN40" s="752" t="s">
        <v>480</v>
      </c>
      <c r="AO40" s="653"/>
      <c r="AP40" s="372" t="e">
        <f>SUM(AP13:AP39)/2</f>
        <v>#REF!</v>
      </c>
      <c r="AQ40" s="752" t="s">
        <v>480</v>
      </c>
      <c r="AR40" s="653"/>
      <c r="AS40" s="372" t="e">
        <f>SUM(AS13:AS39)/2</f>
        <v>#REF!</v>
      </c>
      <c r="AT40" s="752" t="s">
        <v>480</v>
      </c>
      <c r="AU40" s="653"/>
      <c r="AV40" s="372" t="e">
        <f>SUM(AV13:AV39)/2</f>
        <v>#REF!</v>
      </c>
      <c r="AW40" s="752" t="s">
        <v>480</v>
      </c>
      <c r="AX40" s="653"/>
      <c r="AY40" s="372" t="e">
        <f>SUM(AY13:AY39)/2</f>
        <v>#REF!</v>
      </c>
      <c r="AZ40" s="752" t="s">
        <v>480</v>
      </c>
      <c r="BA40" s="653"/>
      <c r="BB40" s="372" t="e">
        <f>SUM(BB13:BB39)/2</f>
        <v>#REF!</v>
      </c>
    </row>
    <row r="41" spans="1:54" s="18" customFormat="1" ht="14.25" customHeight="1" x14ac:dyDescent="0.25">
      <c r="A41" s="19"/>
      <c r="B41" s="1"/>
      <c r="C41" s="1"/>
    </row>
    <row r="42" spans="1:54" ht="14.25" customHeight="1" x14ac:dyDescent="0.2">
      <c r="A42" s="64"/>
      <c r="B42" s="5"/>
      <c r="C42" s="5"/>
      <c r="E42" s="6"/>
      <c r="F42" s="6"/>
      <c r="G42" s="6"/>
      <c r="H42" s="6"/>
      <c r="I42" s="6"/>
      <c r="J42" s="403"/>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row>
    <row r="44" spans="1:54" ht="14.25" customHeight="1" x14ac:dyDescent="0.2">
      <c r="A44" s="64"/>
      <c r="B44" s="5"/>
      <c r="C44" s="5"/>
      <c r="E44" s="6"/>
      <c r="F44" s="6"/>
      <c r="G44" s="6"/>
      <c r="H44" s="6"/>
      <c r="I44" s="6"/>
      <c r="J44" s="409"/>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row>
    <row r="52" spans="9:9" ht="14.25" customHeight="1" x14ac:dyDescent="0.2">
      <c r="I52" s="329">
        <v>929.97593792992097</v>
      </c>
    </row>
    <row r="53" spans="9:9" ht="14.25" customHeight="1" x14ac:dyDescent="0.2">
      <c r="I53" s="329">
        <v>278.19890797636629</v>
      </c>
    </row>
    <row r="54" spans="9:9" ht="14.25" customHeight="1" x14ac:dyDescent="0.2">
      <c r="I54" s="329">
        <v>87.436550170648474</v>
      </c>
    </row>
    <row r="55" spans="9:9" ht="14.25" customHeight="1" x14ac:dyDescent="0.2">
      <c r="I55" s="329">
        <v>47.688371429669786</v>
      </c>
    </row>
    <row r="56" spans="9:9" ht="14.25" customHeight="1" x14ac:dyDescent="0.2">
      <c r="I56" s="329">
        <v>349.73065575452335</v>
      </c>
    </row>
    <row r="57" spans="9:9" ht="14.25" customHeight="1" x14ac:dyDescent="0.2">
      <c r="I57" s="329">
        <v>509.79486024268016</v>
      </c>
    </row>
    <row r="58" spans="9:9" ht="14.25" customHeight="1" x14ac:dyDescent="0.2">
      <c r="I58" s="49">
        <v>715.36322738068247</v>
      </c>
    </row>
    <row r="59" spans="9:9" ht="14.25" customHeight="1" x14ac:dyDescent="0.2">
      <c r="I59" s="370">
        <v>95.384038191659045</v>
      </c>
    </row>
    <row r="60" spans="9:9" ht="14.25" customHeight="1" x14ac:dyDescent="0.2">
      <c r="I60" s="370">
        <v>95.384038191659045</v>
      </c>
    </row>
    <row r="61" spans="9:9" ht="14.25" customHeight="1" x14ac:dyDescent="0.2">
      <c r="I61" s="342">
        <v>47.691369307159768</v>
      </c>
    </row>
    <row r="62" spans="9:9" ht="14.25" customHeight="1" x14ac:dyDescent="0.2">
      <c r="I62" s="342">
        <v>47.691369307159768</v>
      </c>
    </row>
  </sheetData>
  <protectedRanges>
    <protectedRange sqref="I39" name="Intervalo1_4_1_1_2"/>
    <protectedRange sqref="F35" name="Intervalo1_9_1_3_1_2"/>
    <protectedRange sqref="F20 I58" name="Intervalo1_13_1_2_1_2_1"/>
    <protectedRange sqref="F21:F22 I59:I60" name="Intervalo1_2_1"/>
  </protectedRanges>
  <mergeCells count="83">
    <mergeCell ref="AK40:AL40"/>
    <mergeCell ref="AN40:AO40"/>
    <mergeCell ref="AQ40:AR40"/>
    <mergeCell ref="G40:J40"/>
    <mergeCell ref="M40:N40"/>
    <mergeCell ref="P40:Q40"/>
    <mergeCell ref="S40:T40"/>
    <mergeCell ref="V40:W40"/>
    <mergeCell ref="Y40:Z40"/>
    <mergeCell ref="Y39:Z39"/>
    <mergeCell ref="AT40:AU40"/>
    <mergeCell ref="AW40:AX40"/>
    <mergeCell ref="AZ40:BA40"/>
    <mergeCell ref="AB40:AC40"/>
    <mergeCell ref="AE40:AF40"/>
    <mergeCell ref="AT39:AU39"/>
    <mergeCell ref="AW39:AX39"/>
    <mergeCell ref="AZ39:BA39"/>
    <mergeCell ref="AB39:AC39"/>
    <mergeCell ref="AE39:AF39"/>
    <mergeCell ref="AH39:AI39"/>
    <mergeCell ref="AK39:AL39"/>
    <mergeCell ref="AN39:AO39"/>
    <mergeCell ref="AQ39:AR39"/>
    <mergeCell ref="AH40:AI40"/>
    <mergeCell ref="G39:J39"/>
    <mergeCell ref="M39:N39"/>
    <mergeCell ref="P39:Q39"/>
    <mergeCell ref="S39:T39"/>
    <mergeCell ref="V39:W39"/>
    <mergeCell ref="BA10:BA11"/>
    <mergeCell ref="AK10:AK11"/>
    <mergeCell ref="AL10:AL11"/>
    <mergeCell ref="AN10:AN11"/>
    <mergeCell ref="AO10:AO11"/>
    <mergeCell ref="AQ10:AQ11"/>
    <mergeCell ref="AR10:AR11"/>
    <mergeCell ref="AT10:AT11"/>
    <mergeCell ref="AU10:AU11"/>
    <mergeCell ref="AW10:AW11"/>
    <mergeCell ref="AX10:AX11"/>
    <mergeCell ref="AZ10:AZ11"/>
    <mergeCell ref="AT9:AV9"/>
    <mergeCell ref="AW9:AY9"/>
    <mergeCell ref="AZ9:BB9"/>
    <mergeCell ref="M10:M11"/>
    <mergeCell ref="N10:N11"/>
    <mergeCell ref="P10:P11"/>
    <mergeCell ref="Q10:Q11"/>
    <mergeCell ref="S10:S11"/>
    <mergeCell ref="T10:T11"/>
    <mergeCell ref="V10:V11"/>
    <mergeCell ref="AB9:AD9"/>
    <mergeCell ref="AE9:AG9"/>
    <mergeCell ref="AH9:AJ9"/>
    <mergeCell ref="AK9:AM9"/>
    <mergeCell ref="AN9:AP9"/>
    <mergeCell ref="AB10:AB11"/>
    <mergeCell ref="AQ9:AS9"/>
    <mergeCell ref="J9:K10"/>
    <mergeCell ref="M9:O9"/>
    <mergeCell ref="P9:R9"/>
    <mergeCell ref="S9:U9"/>
    <mergeCell ref="V9:X9"/>
    <mergeCell ref="Y9:AA9"/>
    <mergeCell ref="W10:W11"/>
    <mergeCell ref="Y10:Y11"/>
    <mergeCell ref="Z10:Z11"/>
    <mergeCell ref="AI10:AI11"/>
    <mergeCell ref="AC10:AC11"/>
    <mergeCell ref="AE10:AE11"/>
    <mergeCell ref="AF10:AF11"/>
    <mergeCell ref="AH10:AH11"/>
    <mergeCell ref="E4:G4"/>
    <mergeCell ref="E5:K7"/>
    <mergeCell ref="G8:H8"/>
    <mergeCell ref="A9:A11"/>
    <mergeCell ref="B9:B11"/>
    <mergeCell ref="C9:C11"/>
    <mergeCell ref="D9:D11"/>
    <mergeCell ref="E9:E11"/>
    <mergeCell ref="F9:F11"/>
    <mergeCell ref="G9:I10"/>
  </mergeCells>
  <conditionalFormatting sqref="AW12">
    <cfRule type="cellIs" dxfId="2" priority="1" stopIfTrue="1" operator="greaterThanOrEqual">
      <formula>0.8</formula>
    </cfRule>
  </conditionalFormatting>
  <printOptions horizontalCentered="1"/>
  <pageMargins left="0.51181102362204722" right="0.51181102362204722" top="0.78740157480314965" bottom="0.78740157480314965" header="0.31496062992125984" footer="0.31496062992125984"/>
  <pageSetup paperSize="9" scale="50" orientation="landscape" r:id="rId1"/>
  <colBreaks count="1" manualBreakCount="1">
    <brk id="11"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201"/>
  <sheetViews>
    <sheetView view="pageBreakPreview" topLeftCell="E102" zoomScale="75" zoomScaleNormal="75" workbookViewId="0">
      <selection activeCell="E14" sqref="E14"/>
    </sheetView>
  </sheetViews>
  <sheetFormatPr defaultColWidth="9.140625" defaultRowHeight="15" x14ac:dyDescent="0.2"/>
  <cols>
    <col min="1" max="1" width="8.28515625" style="6" customWidth="1"/>
    <col min="2" max="3" width="21" style="6" customWidth="1"/>
    <col min="4" max="4" width="88.5703125" style="6" customWidth="1"/>
    <col min="5" max="5" width="7" style="22" customWidth="1"/>
    <col min="6" max="6" width="11.5703125" style="91" hidden="1" customWidth="1"/>
    <col min="7" max="7" width="16.5703125" style="6" bestFit="1" customWidth="1"/>
    <col min="8" max="8" width="13.42578125" style="22" hidden="1" customWidth="1"/>
    <col min="9" max="9" width="10.5703125" style="65" hidden="1" customWidth="1"/>
    <col min="10" max="10" width="13.42578125" style="6" customWidth="1"/>
    <col min="11" max="11" width="14.85546875" style="6" bestFit="1" customWidth="1"/>
    <col min="12" max="12" width="10.5703125" style="6" hidden="1" customWidth="1"/>
    <col min="13" max="13" width="9.140625" style="6"/>
    <col min="14" max="14" width="11" style="6" customWidth="1"/>
    <col min="15" max="15" width="13.85546875" style="6" customWidth="1"/>
    <col min="16" max="46" width="0" style="6" hidden="1" customWidth="1"/>
    <col min="47" max="47" width="11" style="6" hidden="1" customWidth="1"/>
    <col min="48" max="48" width="13.85546875" style="6" hidden="1" customWidth="1"/>
    <col min="49" max="49" width="8.85546875" style="6" customWidth="1"/>
    <col min="50" max="50" width="11" style="6" customWidth="1"/>
    <col min="51" max="51" width="13.85546875" style="6" customWidth="1"/>
    <col min="52" max="52" width="9.85546875" style="6" customWidth="1"/>
    <col min="53" max="53" width="12" style="6" customWidth="1"/>
    <col min="54" max="54" width="14.85546875" style="6" customWidth="1"/>
    <col min="55" max="16384" width="9.140625" style="6"/>
  </cols>
  <sheetData>
    <row r="1" spans="1:54" ht="18" x14ac:dyDescent="0.25">
      <c r="A1" s="1" t="s">
        <v>56</v>
      </c>
      <c r="B1" s="5"/>
      <c r="C1" s="5"/>
      <c r="D1" s="5"/>
      <c r="F1" s="6"/>
      <c r="I1" s="22"/>
    </row>
    <row r="2" spans="1:54" ht="19.5" customHeight="1" x14ac:dyDescent="0.25">
      <c r="A2" s="2" t="s">
        <v>1</v>
      </c>
      <c r="B2" s="5"/>
      <c r="C2" s="5"/>
      <c r="D2" s="5"/>
      <c r="F2" s="6"/>
      <c r="I2" s="22"/>
    </row>
    <row r="3" spans="1:54" ht="19.5" customHeight="1" x14ac:dyDescent="0.25">
      <c r="A3" s="2" t="s">
        <v>2</v>
      </c>
      <c r="B3" s="63"/>
      <c r="C3" s="63"/>
      <c r="D3" s="5"/>
      <c r="F3" s="6"/>
      <c r="I3" s="22"/>
    </row>
    <row r="4" spans="1:54" ht="17.25" customHeight="1" x14ac:dyDescent="0.25">
      <c r="A4" s="1" t="s">
        <v>3</v>
      </c>
      <c r="B4" s="5"/>
      <c r="C4" s="5"/>
      <c r="D4" s="5"/>
      <c r="E4" s="654" t="s">
        <v>43</v>
      </c>
      <c r="F4" s="654"/>
      <c r="G4" s="654"/>
      <c r="H4" s="6"/>
      <c r="I4" s="6"/>
    </row>
    <row r="5" spans="1:54" ht="18" x14ac:dyDescent="0.25">
      <c r="A5" s="1" t="s">
        <v>4</v>
      </c>
      <c r="B5" s="5"/>
      <c r="C5" s="5"/>
      <c r="D5" s="5"/>
      <c r="E5" s="688" t="e">
        <f>RESUMO!#REF!</f>
        <v>#REF!</v>
      </c>
      <c r="F5" s="688"/>
      <c r="G5" s="688"/>
      <c r="H5" s="688"/>
      <c r="I5" s="688"/>
      <c r="J5" s="688"/>
      <c r="K5" s="688"/>
      <c r="M5" s="219"/>
    </row>
    <row r="6" spans="1:54" ht="18" customHeight="1" x14ac:dyDescent="0.25">
      <c r="A6" s="1" t="str">
        <f>[5]CONSOLIDA!A6</f>
        <v xml:space="preserve">ESTABELECIMENTO: EE </v>
      </c>
      <c r="B6" s="5"/>
      <c r="C6" s="5"/>
      <c r="E6" s="688"/>
      <c r="F6" s="688"/>
      <c r="G6" s="688"/>
      <c r="H6" s="688"/>
      <c r="I6" s="688"/>
      <c r="J6" s="688"/>
      <c r="K6" s="688"/>
      <c r="M6" s="62"/>
    </row>
    <row r="7" spans="1:54" ht="18" x14ac:dyDescent="0.25">
      <c r="A7" s="1" t="str">
        <f>[5]CONSOLIDA!A7</f>
        <v>MUNICÍPIO: CUIABÁ - MT</v>
      </c>
      <c r="B7" s="5"/>
      <c r="C7" s="5"/>
      <c r="D7" s="22"/>
      <c r="E7" s="688"/>
      <c r="F7" s="688"/>
      <c r="G7" s="688"/>
      <c r="H7" s="688"/>
      <c r="I7" s="688"/>
      <c r="J7" s="688"/>
      <c r="K7" s="688"/>
      <c r="M7" s="62"/>
    </row>
    <row r="8" spans="1:54" ht="18.75" thickBot="1" x14ac:dyDescent="0.3">
      <c r="A8" s="1" t="str">
        <f>[5]CONSOLIDA!A8</f>
        <v xml:space="preserve">ENDEREÇO: </v>
      </c>
      <c r="B8" s="64"/>
      <c r="C8" s="64"/>
      <c r="E8" s="64" t="s">
        <v>45</v>
      </c>
      <c r="F8" s="6"/>
      <c r="G8" s="689">
        <f>Reforma!G8</f>
        <v>0.2581</v>
      </c>
      <c r="H8" s="689"/>
      <c r="I8" s="236"/>
      <c r="J8" s="64" t="s">
        <v>57</v>
      </c>
      <c r="K8" s="236">
        <f>Reforma!K8</f>
        <v>0</v>
      </c>
      <c r="L8" s="21"/>
      <c r="M8" s="62"/>
      <c r="O8" s="62"/>
      <c r="P8" s="62"/>
      <c r="R8" s="62"/>
      <c r="S8" s="62"/>
      <c r="U8" s="62"/>
      <c r="V8" s="62"/>
      <c r="X8" s="62"/>
      <c r="Y8" s="62"/>
      <c r="AA8" s="62"/>
      <c r="AB8" s="62"/>
      <c r="AD8" s="62"/>
      <c r="AE8" s="62"/>
      <c r="AG8" s="62"/>
      <c r="AH8" s="62"/>
      <c r="AJ8" s="62"/>
      <c r="AK8" s="62"/>
      <c r="AM8" s="62"/>
      <c r="AN8" s="62"/>
      <c r="AP8" s="62"/>
      <c r="AQ8" s="62"/>
      <c r="AS8" s="62"/>
      <c r="AT8" s="62"/>
      <c r="AV8" s="62"/>
      <c r="AW8" s="62"/>
      <c r="AX8" s="62"/>
      <c r="AY8" s="62"/>
      <c r="AZ8" s="62"/>
      <c r="BA8" s="62"/>
      <c r="BB8" s="62"/>
    </row>
    <row r="9" spans="1:54" ht="16.5" customHeight="1" thickBot="1" x14ac:dyDescent="0.3">
      <c r="A9" s="764" t="s">
        <v>13</v>
      </c>
      <c r="B9" s="739" t="str">
        <f>[5]CONSOLIDA!C8</f>
        <v xml:space="preserve">Boletim SINFRA Setembro/2008 </v>
      </c>
      <c r="C9" s="655" t="s">
        <v>867</v>
      </c>
      <c r="D9" s="767" t="s">
        <v>61</v>
      </c>
      <c r="E9" s="767" t="s">
        <v>868</v>
      </c>
      <c r="F9" s="366" t="s">
        <v>869</v>
      </c>
      <c r="G9" s="660" t="s">
        <v>64</v>
      </c>
      <c r="H9" s="664"/>
      <c r="I9" s="661"/>
      <c r="J9" s="660" t="s">
        <v>65</v>
      </c>
      <c r="K9" s="661"/>
      <c r="L9" s="196"/>
      <c r="M9" s="761" t="s">
        <v>66</v>
      </c>
      <c r="N9" s="761"/>
      <c r="O9" s="761"/>
      <c r="P9" s="761" t="s">
        <v>67</v>
      </c>
      <c r="Q9" s="761"/>
      <c r="R9" s="761"/>
      <c r="S9" s="761" t="s">
        <v>68</v>
      </c>
      <c r="T9" s="761"/>
      <c r="U9" s="761"/>
      <c r="V9" s="761" t="s">
        <v>69</v>
      </c>
      <c r="W9" s="761"/>
      <c r="X9" s="761"/>
      <c r="Y9" s="761" t="s">
        <v>70</v>
      </c>
      <c r="Z9" s="761"/>
      <c r="AA9" s="761"/>
      <c r="AB9" s="761" t="s">
        <v>71</v>
      </c>
      <c r="AC9" s="761"/>
      <c r="AD9" s="761"/>
      <c r="AE9" s="761" t="s">
        <v>72</v>
      </c>
      <c r="AF9" s="761"/>
      <c r="AG9" s="761"/>
      <c r="AH9" s="761" t="s">
        <v>73</v>
      </c>
      <c r="AI9" s="761"/>
      <c r="AJ9" s="761"/>
      <c r="AK9" s="761" t="s">
        <v>74</v>
      </c>
      <c r="AL9" s="761"/>
      <c r="AM9" s="761"/>
      <c r="AN9" s="761" t="s">
        <v>75</v>
      </c>
      <c r="AO9" s="761"/>
      <c r="AP9" s="761"/>
      <c r="AQ9" s="761" t="s">
        <v>76</v>
      </c>
      <c r="AR9" s="761"/>
      <c r="AS9" s="761"/>
      <c r="AT9" s="761" t="s">
        <v>77</v>
      </c>
      <c r="AU9" s="761"/>
      <c r="AV9" s="761"/>
      <c r="AW9" s="761" t="s">
        <v>78</v>
      </c>
      <c r="AX9" s="761"/>
      <c r="AY9" s="761"/>
      <c r="AZ9" s="761" t="s">
        <v>79</v>
      </c>
      <c r="BA9" s="761"/>
      <c r="BB9" s="761"/>
    </row>
    <row r="10" spans="1:54" ht="16.5" customHeight="1" thickBot="1" x14ac:dyDescent="0.3">
      <c r="A10" s="765"/>
      <c r="B10" s="739"/>
      <c r="C10" s="656"/>
      <c r="D10" s="768"/>
      <c r="E10" s="768"/>
      <c r="F10" s="367" t="s">
        <v>870</v>
      </c>
      <c r="G10" s="662"/>
      <c r="H10" s="665"/>
      <c r="I10" s="663"/>
      <c r="J10" s="662"/>
      <c r="K10" s="663"/>
      <c r="L10" s="197"/>
      <c r="M10" s="763" t="s">
        <v>86</v>
      </c>
      <c r="N10" s="762" t="s">
        <v>87</v>
      </c>
      <c r="O10" s="395" t="s">
        <v>88</v>
      </c>
      <c r="P10" s="763" t="s">
        <v>86</v>
      </c>
      <c r="Q10" s="762" t="s">
        <v>87</v>
      </c>
      <c r="R10" s="395" t="s">
        <v>88</v>
      </c>
      <c r="S10" s="763" t="s">
        <v>86</v>
      </c>
      <c r="T10" s="762" t="s">
        <v>87</v>
      </c>
      <c r="U10" s="395" t="s">
        <v>88</v>
      </c>
      <c r="V10" s="763" t="s">
        <v>86</v>
      </c>
      <c r="W10" s="762" t="s">
        <v>87</v>
      </c>
      <c r="X10" s="395" t="s">
        <v>88</v>
      </c>
      <c r="Y10" s="763" t="s">
        <v>86</v>
      </c>
      <c r="Z10" s="762" t="s">
        <v>87</v>
      </c>
      <c r="AA10" s="395" t="s">
        <v>88</v>
      </c>
      <c r="AB10" s="763" t="s">
        <v>86</v>
      </c>
      <c r="AC10" s="762" t="s">
        <v>87</v>
      </c>
      <c r="AD10" s="395" t="s">
        <v>88</v>
      </c>
      <c r="AE10" s="763" t="s">
        <v>86</v>
      </c>
      <c r="AF10" s="762" t="s">
        <v>87</v>
      </c>
      <c r="AG10" s="395" t="s">
        <v>88</v>
      </c>
      <c r="AH10" s="763" t="s">
        <v>86</v>
      </c>
      <c r="AI10" s="762" t="s">
        <v>87</v>
      </c>
      <c r="AJ10" s="395" t="s">
        <v>88</v>
      </c>
      <c r="AK10" s="763" t="s">
        <v>86</v>
      </c>
      <c r="AL10" s="762" t="s">
        <v>87</v>
      </c>
      <c r="AM10" s="395" t="s">
        <v>88</v>
      </c>
      <c r="AN10" s="763" t="s">
        <v>86</v>
      </c>
      <c r="AO10" s="762" t="s">
        <v>87</v>
      </c>
      <c r="AP10" s="395" t="s">
        <v>88</v>
      </c>
      <c r="AQ10" s="763" t="s">
        <v>86</v>
      </c>
      <c r="AR10" s="762" t="s">
        <v>87</v>
      </c>
      <c r="AS10" s="395" t="s">
        <v>88</v>
      </c>
      <c r="AT10" s="763" t="s">
        <v>86</v>
      </c>
      <c r="AU10" s="762" t="s">
        <v>87</v>
      </c>
      <c r="AV10" s="395" t="s">
        <v>88</v>
      </c>
      <c r="AW10" s="763" t="s">
        <v>86</v>
      </c>
      <c r="AX10" s="762" t="s">
        <v>87</v>
      </c>
      <c r="AY10" s="395" t="s">
        <v>88</v>
      </c>
      <c r="AZ10" s="763" t="s">
        <v>86</v>
      </c>
      <c r="BA10" s="762" t="s">
        <v>87</v>
      </c>
      <c r="BB10" s="395" t="s">
        <v>88</v>
      </c>
    </row>
    <row r="11" spans="1:54" ht="16.5" thickBot="1" x14ac:dyDescent="0.3">
      <c r="A11" s="766"/>
      <c r="B11" s="655"/>
      <c r="C11" s="657"/>
      <c r="D11" s="769"/>
      <c r="E11" s="769"/>
      <c r="F11" s="368" t="s">
        <v>871</v>
      </c>
      <c r="G11" s="392" t="s">
        <v>89</v>
      </c>
      <c r="H11" s="392" t="s">
        <v>90</v>
      </c>
      <c r="I11" s="392" t="s">
        <v>91</v>
      </c>
      <c r="J11" s="387" t="s">
        <v>92</v>
      </c>
      <c r="K11" s="386" t="s">
        <v>89</v>
      </c>
      <c r="L11" s="388" t="s">
        <v>91</v>
      </c>
      <c r="M11" s="763"/>
      <c r="N11" s="762"/>
      <c r="O11" s="395" t="s">
        <v>21</v>
      </c>
      <c r="P11" s="763"/>
      <c r="Q11" s="762"/>
      <c r="R11" s="395" t="s">
        <v>21</v>
      </c>
      <c r="S11" s="763"/>
      <c r="T11" s="762"/>
      <c r="U11" s="395" t="s">
        <v>21</v>
      </c>
      <c r="V11" s="763"/>
      <c r="W11" s="762"/>
      <c r="X11" s="395" t="s">
        <v>21</v>
      </c>
      <c r="Y11" s="763"/>
      <c r="Z11" s="762"/>
      <c r="AA11" s="395" t="s">
        <v>21</v>
      </c>
      <c r="AB11" s="763"/>
      <c r="AC11" s="762"/>
      <c r="AD11" s="395" t="s">
        <v>21</v>
      </c>
      <c r="AE11" s="763"/>
      <c r="AF11" s="762"/>
      <c r="AG11" s="395" t="s">
        <v>21</v>
      </c>
      <c r="AH11" s="763"/>
      <c r="AI11" s="762"/>
      <c r="AJ11" s="395" t="s">
        <v>21</v>
      </c>
      <c r="AK11" s="763"/>
      <c r="AL11" s="762"/>
      <c r="AM11" s="395" t="s">
        <v>21</v>
      </c>
      <c r="AN11" s="763"/>
      <c r="AO11" s="762"/>
      <c r="AP11" s="395" t="s">
        <v>21</v>
      </c>
      <c r="AQ11" s="763"/>
      <c r="AR11" s="762"/>
      <c r="AS11" s="395" t="s">
        <v>21</v>
      </c>
      <c r="AT11" s="763"/>
      <c r="AU11" s="762"/>
      <c r="AV11" s="395" t="s">
        <v>21</v>
      </c>
      <c r="AW11" s="763"/>
      <c r="AX11" s="762"/>
      <c r="AY11" s="395" t="s">
        <v>21</v>
      </c>
      <c r="AZ11" s="763"/>
      <c r="BA11" s="762"/>
      <c r="BB11" s="395" t="s">
        <v>21</v>
      </c>
    </row>
    <row r="12" spans="1:54" s="218" customFormat="1" x14ac:dyDescent="0.2">
      <c r="A12" s="321" t="s">
        <v>53</v>
      </c>
      <c r="B12" s="289"/>
      <c r="C12" s="289"/>
      <c r="D12" s="322" t="s">
        <v>872</v>
      </c>
      <c r="E12" s="323"/>
      <c r="F12" s="323"/>
      <c r="G12" s="202"/>
      <c r="H12" s="202"/>
      <c r="I12" s="202"/>
      <c r="J12" s="202"/>
      <c r="K12" s="84"/>
      <c r="L12" s="243"/>
      <c r="M12" s="207"/>
      <c r="N12" s="98"/>
      <c r="O12" s="208"/>
      <c r="P12" s="209"/>
      <c r="Q12" s="98"/>
      <c r="R12" s="208"/>
      <c r="S12" s="209"/>
      <c r="T12" s="98"/>
      <c r="U12" s="208"/>
      <c r="V12" s="209"/>
      <c r="W12" s="98"/>
      <c r="X12" s="208"/>
      <c r="Y12" s="209"/>
      <c r="Z12" s="98"/>
      <c r="AA12" s="208"/>
      <c r="AB12" s="209"/>
      <c r="AC12" s="98"/>
      <c r="AD12" s="208"/>
      <c r="AE12" s="209"/>
      <c r="AF12" s="98"/>
      <c r="AG12" s="208"/>
      <c r="AH12" s="209"/>
      <c r="AI12" s="98"/>
      <c r="AJ12" s="208"/>
      <c r="AK12" s="209"/>
      <c r="AL12" s="98"/>
      <c r="AM12" s="208"/>
      <c r="AN12" s="209"/>
      <c r="AO12" s="98"/>
      <c r="AP12" s="208"/>
      <c r="AQ12" s="209"/>
      <c r="AR12" s="98"/>
      <c r="AS12" s="208"/>
      <c r="AT12" s="209"/>
      <c r="AU12" s="98"/>
      <c r="AV12" s="210"/>
      <c r="AW12" s="209"/>
      <c r="AX12" s="98"/>
      <c r="AY12" s="211"/>
      <c r="AZ12" s="212"/>
      <c r="BA12" s="98"/>
      <c r="BB12" s="211"/>
    </row>
    <row r="13" spans="1:54" s="218" customFormat="1" ht="42.75" x14ac:dyDescent="0.2">
      <c r="A13" s="324" t="s">
        <v>94</v>
      </c>
      <c r="B13" s="87" t="s">
        <v>104</v>
      </c>
      <c r="C13" s="87" t="s">
        <v>104</v>
      </c>
      <c r="D13" s="50" t="s">
        <v>873</v>
      </c>
      <c r="E13" s="28" t="s">
        <v>98</v>
      </c>
      <c r="F13" s="363">
        <f>1.25*136.762</f>
        <v>170.95249999999999</v>
      </c>
      <c r="G13" s="325">
        <v>1</v>
      </c>
      <c r="H13" s="325">
        <f>G13</f>
        <v>1</v>
      </c>
      <c r="I13" s="37">
        <f>H13-G13</f>
        <v>0</v>
      </c>
      <c r="J13" s="37">
        <f t="shared" ref="J13:J35" si="0">ROUND((F13*(1+$K$8))*(1+$G$8),2)</f>
        <v>215.08</v>
      </c>
      <c r="K13" s="38">
        <f>TRUNC(J13*G13,2)</f>
        <v>215.08</v>
      </c>
      <c r="L13" s="244">
        <f>TRUNC(J13*I13,2)</f>
        <v>0</v>
      </c>
      <c r="M13" s="213">
        <f>N13/$H13*100</f>
        <v>0</v>
      </c>
      <c r="N13" s="98"/>
      <c r="O13" s="98">
        <f t="shared" ref="O13:O76" si="1">TRUNC(N13*$J13,2)</f>
        <v>0</v>
      </c>
      <c r="P13" s="214">
        <f>Q13/$H13*100</f>
        <v>0</v>
      </c>
      <c r="Q13" s="98"/>
      <c r="R13" s="98">
        <f t="shared" ref="R13:R76" si="2">TRUNC(Q13*$J13,2)</f>
        <v>0</v>
      </c>
      <c r="S13" s="214">
        <f>T13/$H13*100</f>
        <v>0</v>
      </c>
      <c r="T13" s="98"/>
      <c r="U13" s="98">
        <f t="shared" ref="U13:U76" si="3">TRUNC(T13*$J13,2)</f>
        <v>0</v>
      </c>
      <c r="V13" s="214">
        <f>W13/$H13*100</f>
        <v>0</v>
      </c>
      <c r="W13" s="98"/>
      <c r="X13" s="98">
        <f t="shared" ref="X13:X76" si="4">TRUNC(W13*$J13,2)</f>
        <v>0</v>
      </c>
      <c r="Y13" s="214">
        <f>Z13/$H13*100</f>
        <v>0</v>
      </c>
      <c r="Z13" s="98"/>
      <c r="AA13" s="98">
        <f t="shared" ref="AA13:AA76" si="5">TRUNC(Z13*$J13,2)</f>
        <v>0</v>
      </c>
      <c r="AB13" s="214">
        <f>AC13/$H13*100</f>
        <v>0</v>
      </c>
      <c r="AC13" s="98"/>
      <c r="AD13" s="98">
        <f t="shared" ref="AD13:AD76" si="6">TRUNC(AC13*$J13,2)</f>
        <v>0</v>
      </c>
      <c r="AE13" s="214">
        <f>AF13/$H13*100</f>
        <v>0</v>
      </c>
      <c r="AF13" s="98"/>
      <c r="AG13" s="98">
        <f t="shared" ref="AG13:AG76" si="7">TRUNC(AF13*$J13,2)</f>
        <v>0</v>
      </c>
      <c r="AH13" s="214">
        <f>AI13/$H13*100</f>
        <v>0</v>
      </c>
      <c r="AI13" s="98"/>
      <c r="AJ13" s="98">
        <f t="shared" ref="AJ13:AJ76" si="8">TRUNC(AI13*$J13,2)</f>
        <v>0</v>
      </c>
      <c r="AK13" s="214">
        <f>AL13/$H13*100</f>
        <v>0</v>
      </c>
      <c r="AL13" s="98"/>
      <c r="AM13" s="98">
        <f t="shared" ref="AM13:AM76" si="9">TRUNC(AL13*$J13,2)</f>
        <v>0</v>
      </c>
      <c r="AN13" s="214">
        <f>AO13/$H13*100</f>
        <v>0</v>
      </c>
      <c r="AO13" s="98"/>
      <c r="AP13" s="98">
        <f t="shared" ref="AP13:AP76" si="10">TRUNC(AO13*$J13,2)</f>
        <v>0</v>
      </c>
      <c r="AQ13" s="214">
        <f>AR13/$H13*100</f>
        <v>0</v>
      </c>
      <c r="AR13" s="98"/>
      <c r="AS13" s="98">
        <f t="shared" ref="AS13:AS76" si="11">TRUNC(AR13*$J13,2)</f>
        <v>0</v>
      </c>
      <c r="AT13" s="214">
        <f>AU13/$H13*100</f>
        <v>0</v>
      </c>
      <c r="AU13" s="98"/>
      <c r="AV13" s="215">
        <f t="shared" ref="AV13:AV76" si="12">TRUNC(AU13*$J13,2)</f>
        <v>0</v>
      </c>
      <c r="AW13" s="214">
        <f>AX13/$H13*100</f>
        <v>0</v>
      </c>
      <c r="AX13" s="98">
        <f>Q13+N13+T13+W13+Z13+AC13+AF13+AI13+AL13+AO13+AR13+AU13</f>
        <v>0</v>
      </c>
      <c r="AY13" s="204">
        <f t="shared" ref="AY13:AY76" si="13">TRUNC(AX13*$J13,2)</f>
        <v>0</v>
      </c>
      <c r="AZ13" s="214">
        <f>BA13/$H13*100</f>
        <v>100</v>
      </c>
      <c r="BA13" s="98">
        <f>H13-AX13</f>
        <v>1</v>
      </c>
      <c r="BB13" s="204">
        <f t="shared" ref="BB13:BB76" si="14">TRUNC(BA13*$J13,2)</f>
        <v>215.08</v>
      </c>
    </row>
    <row r="14" spans="1:54" s="218" customFormat="1" ht="28.5" x14ac:dyDescent="0.2">
      <c r="A14" s="324" t="s">
        <v>99</v>
      </c>
      <c r="B14" s="87" t="s">
        <v>104</v>
      </c>
      <c r="C14" s="87" t="s">
        <v>104</v>
      </c>
      <c r="D14" s="92" t="s">
        <v>874</v>
      </c>
      <c r="E14" s="28" t="s">
        <v>110</v>
      </c>
      <c r="F14" s="357">
        <f>1.25*0.71</f>
        <v>0.88749999999999996</v>
      </c>
      <c r="G14" s="325">
        <v>3584</v>
      </c>
      <c r="H14" s="325">
        <f t="shared" ref="H14:H77" si="15">G14</f>
        <v>3584</v>
      </c>
      <c r="I14" s="37">
        <f>H14-G14</f>
        <v>0</v>
      </c>
      <c r="J14" s="37">
        <f t="shared" si="0"/>
        <v>1.1200000000000001</v>
      </c>
      <c r="K14" s="38">
        <f t="shared" ref="K14:K77" si="16">TRUNC(J14*G14,2)</f>
        <v>4014.08</v>
      </c>
      <c r="L14" s="244">
        <f>TRUNC(J14*I14,2)</f>
        <v>0</v>
      </c>
      <c r="M14" s="213">
        <f>N14/$H14*100</f>
        <v>0</v>
      </c>
      <c r="N14" s="98"/>
      <c r="O14" s="98">
        <f t="shared" si="1"/>
        <v>0</v>
      </c>
      <c r="P14" s="214">
        <f>Q14/$H14*100</f>
        <v>0</v>
      </c>
      <c r="Q14" s="98"/>
      <c r="R14" s="98">
        <f t="shared" si="2"/>
        <v>0</v>
      </c>
      <c r="S14" s="214">
        <f>T14/$H14*100</f>
        <v>0</v>
      </c>
      <c r="T14" s="98"/>
      <c r="U14" s="98">
        <f t="shared" si="3"/>
        <v>0</v>
      </c>
      <c r="V14" s="214">
        <f>W14/$H14*100</f>
        <v>0</v>
      </c>
      <c r="W14" s="98"/>
      <c r="X14" s="98">
        <f t="shared" si="4"/>
        <v>0</v>
      </c>
      <c r="Y14" s="214">
        <f>Z14/$H14*100</f>
        <v>0</v>
      </c>
      <c r="Z14" s="98"/>
      <c r="AA14" s="98">
        <f t="shared" si="5"/>
        <v>0</v>
      </c>
      <c r="AB14" s="214">
        <f>AC14/$H14*100</f>
        <v>0</v>
      </c>
      <c r="AC14" s="98"/>
      <c r="AD14" s="98">
        <f t="shared" si="6"/>
        <v>0</v>
      </c>
      <c r="AE14" s="214">
        <f>AF14/$H14*100</f>
        <v>0</v>
      </c>
      <c r="AF14" s="98"/>
      <c r="AG14" s="98">
        <f t="shared" si="7"/>
        <v>0</v>
      </c>
      <c r="AH14" s="214">
        <f>AI14/$H14*100</f>
        <v>0</v>
      </c>
      <c r="AI14" s="98"/>
      <c r="AJ14" s="98">
        <f t="shared" si="8"/>
        <v>0</v>
      </c>
      <c r="AK14" s="214">
        <f>AL14/$H14*100</f>
        <v>0</v>
      </c>
      <c r="AL14" s="98"/>
      <c r="AM14" s="98">
        <f t="shared" si="9"/>
        <v>0</v>
      </c>
      <c r="AN14" s="214">
        <f>AO14/$H14*100</f>
        <v>0</v>
      </c>
      <c r="AO14" s="98"/>
      <c r="AP14" s="98">
        <f t="shared" si="10"/>
        <v>0</v>
      </c>
      <c r="AQ14" s="214">
        <f>AR14/$H14*100</f>
        <v>0</v>
      </c>
      <c r="AR14" s="98"/>
      <c r="AS14" s="98">
        <f t="shared" si="11"/>
        <v>0</v>
      </c>
      <c r="AT14" s="214">
        <f>AU14/$H14*100</f>
        <v>0</v>
      </c>
      <c r="AU14" s="98"/>
      <c r="AV14" s="215">
        <f t="shared" si="12"/>
        <v>0</v>
      </c>
      <c r="AW14" s="214">
        <f>AX14/$H14*100</f>
        <v>0</v>
      </c>
      <c r="AX14" s="98">
        <f>Q14+N14+T14+W14+Z14+AC14+AF14+AI14+AL14+AO14+AR14+AU14</f>
        <v>0</v>
      </c>
      <c r="AY14" s="204">
        <f t="shared" si="13"/>
        <v>0</v>
      </c>
      <c r="AZ14" s="214">
        <f>BA14/$H14*100</f>
        <v>100</v>
      </c>
      <c r="BA14" s="98">
        <f>H14-AX14</f>
        <v>3584</v>
      </c>
      <c r="BB14" s="204">
        <f t="shared" si="14"/>
        <v>4014.08</v>
      </c>
    </row>
    <row r="15" spans="1:54" s="218" customFormat="1" x14ac:dyDescent="0.2">
      <c r="A15" s="324" t="s">
        <v>103</v>
      </c>
      <c r="B15" s="28" t="s">
        <v>875</v>
      </c>
      <c r="C15" s="28" t="s">
        <v>876</v>
      </c>
      <c r="D15" s="58" t="s">
        <v>877</v>
      </c>
      <c r="E15" s="28" t="s">
        <v>275</v>
      </c>
      <c r="F15" s="410">
        <v>2.56</v>
      </c>
      <c r="G15" s="325">
        <v>5872</v>
      </c>
      <c r="H15" s="325">
        <f t="shared" si="15"/>
        <v>5872</v>
      </c>
      <c r="I15" s="37">
        <f t="shared" ref="I15:I78" si="17">H15-G15</f>
        <v>0</v>
      </c>
      <c r="J15" s="37">
        <f t="shared" si="0"/>
        <v>3.22</v>
      </c>
      <c r="K15" s="38">
        <f t="shared" si="16"/>
        <v>18907.84</v>
      </c>
      <c r="L15" s="244">
        <f t="shared" ref="L15:L93" si="18">TRUNC(J15*I15,2)</f>
        <v>0</v>
      </c>
      <c r="M15" s="213">
        <f t="shared" ref="M15:M93" si="19">N15/$H15*100</f>
        <v>0</v>
      </c>
      <c r="N15" s="98"/>
      <c r="O15" s="98">
        <f t="shared" si="1"/>
        <v>0</v>
      </c>
      <c r="P15" s="214">
        <f t="shared" ref="P15:P93" si="20">Q15/$H15*100</f>
        <v>0</v>
      </c>
      <c r="Q15" s="98"/>
      <c r="R15" s="98">
        <f t="shared" si="2"/>
        <v>0</v>
      </c>
      <c r="S15" s="214">
        <f t="shared" ref="S15:S93" si="21">T15/$H15*100</f>
        <v>0</v>
      </c>
      <c r="T15" s="98"/>
      <c r="U15" s="98">
        <f t="shared" si="3"/>
        <v>0</v>
      </c>
      <c r="V15" s="214">
        <f t="shared" ref="V15:V93" si="22">W15/$H15*100</f>
        <v>0</v>
      </c>
      <c r="W15" s="98"/>
      <c r="X15" s="98">
        <f t="shared" si="4"/>
        <v>0</v>
      </c>
      <c r="Y15" s="214">
        <f t="shared" ref="Y15:Y93" si="23">Z15/$H15*100</f>
        <v>0</v>
      </c>
      <c r="Z15" s="98"/>
      <c r="AA15" s="98">
        <f t="shared" si="5"/>
        <v>0</v>
      </c>
      <c r="AB15" s="214">
        <f t="shared" ref="AB15:AB93" si="24">AC15/$H15*100</f>
        <v>0</v>
      </c>
      <c r="AC15" s="98"/>
      <c r="AD15" s="98">
        <f t="shared" si="6"/>
        <v>0</v>
      </c>
      <c r="AE15" s="214">
        <f t="shared" ref="AE15:AE93" si="25">AF15/$H15*100</f>
        <v>0</v>
      </c>
      <c r="AF15" s="98"/>
      <c r="AG15" s="98">
        <f t="shared" si="7"/>
        <v>0</v>
      </c>
      <c r="AH15" s="214">
        <f t="shared" ref="AH15:AH93" si="26">AI15/$H15*100</f>
        <v>0</v>
      </c>
      <c r="AI15" s="98"/>
      <c r="AJ15" s="98">
        <f t="shared" si="8"/>
        <v>0</v>
      </c>
      <c r="AK15" s="214">
        <f t="shared" ref="AK15:AK93" si="27">AL15/$H15*100</f>
        <v>0</v>
      </c>
      <c r="AL15" s="98"/>
      <c r="AM15" s="98">
        <f t="shared" si="9"/>
        <v>0</v>
      </c>
      <c r="AN15" s="214">
        <f t="shared" ref="AN15:AN93" si="28">AO15/$H15*100</f>
        <v>0</v>
      </c>
      <c r="AO15" s="98"/>
      <c r="AP15" s="98">
        <f t="shared" si="10"/>
        <v>0</v>
      </c>
      <c r="AQ15" s="214">
        <f t="shared" ref="AQ15:AQ93" si="29">AR15/$H15*100</f>
        <v>0</v>
      </c>
      <c r="AR15" s="98"/>
      <c r="AS15" s="98">
        <f t="shared" si="11"/>
        <v>0</v>
      </c>
      <c r="AT15" s="214">
        <f t="shared" ref="AT15:AT93" si="30">AU15/$H15*100</f>
        <v>0</v>
      </c>
      <c r="AU15" s="98"/>
      <c r="AV15" s="215">
        <f t="shared" si="12"/>
        <v>0</v>
      </c>
      <c r="AW15" s="214">
        <f t="shared" ref="AW15:AW93" si="31">AX15/$H15*100</f>
        <v>0</v>
      </c>
      <c r="AX15" s="98">
        <f t="shared" ref="AX15:AX93" si="32">Q15+N15+T15+W15+Z15+AC15+AF15+AI15+AL15+AO15+AR15+AU15</f>
        <v>0</v>
      </c>
      <c r="AY15" s="204">
        <f t="shared" si="13"/>
        <v>0</v>
      </c>
      <c r="AZ15" s="214">
        <f t="shared" ref="AZ15:AZ98" si="33">BA15/$H15*100</f>
        <v>100</v>
      </c>
      <c r="BA15" s="98">
        <f t="shared" ref="BA15:BA93" si="34">H15-AX15</f>
        <v>5872</v>
      </c>
      <c r="BB15" s="204">
        <f t="shared" si="14"/>
        <v>18907.84</v>
      </c>
    </row>
    <row r="16" spans="1:54" s="218" customFormat="1" x14ac:dyDescent="0.2">
      <c r="A16" s="324" t="s">
        <v>106</v>
      </c>
      <c r="B16" s="28" t="s">
        <v>878</v>
      </c>
      <c r="C16" s="28" t="s">
        <v>879</v>
      </c>
      <c r="D16" s="58" t="s">
        <v>880</v>
      </c>
      <c r="E16" s="28" t="s">
        <v>275</v>
      </c>
      <c r="F16" s="410">
        <v>3.26</v>
      </c>
      <c r="G16" s="325">
        <v>1295</v>
      </c>
      <c r="H16" s="325">
        <f t="shared" si="15"/>
        <v>1295</v>
      </c>
      <c r="I16" s="37">
        <f t="shared" si="17"/>
        <v>0</v>
      </c>
      <c r="J16" s="37">
        <f t="shared" si="0"/>
        <v>4.0999999999999996</v>
      </c>
      <c r="K16" s="38">
        <f t="shared" si="16"/>
        <v>5309.5</v>
      </c>
      <c r="L16" s="244">
        <f t="shared" si="18"/>
        <v>0</v>
      </c>
      <c r="M16" s="213">
        <f t="shared" si="19"/>
        <v>0</v>
      </c>
      <c r="N16" s="98"/>
      <c r="O16" s="98">
        <f t="shared" si="1"/>
        <v>0</v>
      </c>
      <c r="P16" s="214">
        <f t="shared" si="20"/>
        <v>0</v>
      </c>
      <c r="Q16" s="98"/>
      <c r="R16" s="98">
        <f t="shared" si="2"/>
        <v>0</v>
      </c>
      <c r="S16" s="214">
        <f t="shared" si="21"/>
        <v>0</v>
      </c>
      <c r="T16" s="98"/>
      <c r="U16" s="98">
        <f t="shared" si="3"/>
        <v>0</v>
      </c>
      <c r="V16" s="214">
        <f t="shared" si="22"/>
        <v>0</v>
      </c>
      <c r="W16" s="98"/>
      <c r="X16" s="98">
        <f t="shared" si="4"/>
        <v>0</v>
      </c>
      <c r="Y16" s="214">
        <f t="shared" si="23"/>
        <v>0</v>
      </c>
      <c r="Z16" s="98"/>
      <c r="AA16" s="98">
        <f t="shared" si="5"/>
        <v>0</v>
      </c>
      <c r="AB16" s="214">
        <f t="shared" si="24"/>
        <v>0</v>
      </c>
      <c r="AC16" s="98"/>
      <c r="AD16" s="98">
        <f t="shared" si="6"/>
        <v>0</v>
      </c>
      <c r="AE16" s="214">
        <f t="shared" si="25"/>
        <v>0</v>
      </c>
      <c r="AF16" s="98"/>
      <c r="AG16" s="98">
        <f t="shared" si="7"/>
        <v>0</v>
      </c>
      <c r="AH16" s="214">
        <f t="shared" si="26"/>
        <v>0</v>
      </c>
      <c r="AI16" s="98"/>
      <c r="AJ16" s="98">
        <f t="shared" si="8"/>
        <v>0</v>
      </c>
      <c r="AK16" s="214">
        <f t="shared" si="27"/>
        <v>0</v>
      </c>
      <c r="AL16" s="98"/>
      <c r="AM16" s="98">
        <f t="shared" si="9"/>
        <v>0</v>
      </c>
      <c r="AN16" s="214">
        <f t="shared" si="28"/>
        <v>0</v>
      </c>
      <c r="AO16" s="98"/>
      <c r="AP16" s="98">
        <f t="shared" si="10"/>
        <v>0</v>
      </c>
      <c r="AQ16" s="214">
        <f t="shared" si="29"/>
        <v>0</v>
      </c>
      <c r="AR16" s="98"/>
      <c r="AS16" s="98">
        <f t="shared" si="11"/>
        <v>0</v>
      </c>
      <c r="AT16" s="214">
        <f t="shared" si="30"/>
        <v>0</v>
      </c>
      <c r="AU16" s="98"/>
      <c r="AV16" s="215">
        <f t="shared" si="12"/>
        <v>0</v>
      </c>
      <c r="AW16" s="214">
        <f t="shared" si="31"/>
        <v>0</v>
      </c>
      <c r="AX16" s="98">
        <f t="shared" si="32"/>
        <v>0</v>
      </c>
      <c r="AY16" s="204">
        <f t="shared" si="13"/>
        <v>0</v>
      </c>
      <c r="AZ16" s="214">
        <f t="shared" si="33"/>
        <v>100</v>
      </c>
      <c r="BA16" s="98">
        <f t="shared" si="34"/>
        <v>1295</v>
      </c>
      <c r="BB16" s="204">
        <f t="shared" si="14"/>
        <v>5309.5</v>
      </c>
    </row>
    <row r="17" spans="1:54" s="218" customFormat="1" x14ac:dyDescent="0.2">
      <c r="A17" s="324" t="s">
        <v>111</v>
      </c>
      <c r="B17" s="28" t="s">
        <v>881</v>
      </c>
      <c r="C17" s="28" t="s">
        <v>882</v>
      </c>
      <c r="D17" s="58" t="s">
        <v>883</v>
      </c>
      <c r="E17" s="28" t="s">
        <v>275</v>
      </c>
      <c r="F17" s="410">
        <v>9</v>
      </c>
      <c r="G17" s="325">
        <v>383</v>
      </c>
      <c r="H17" s="325">
        <f t="shared" si="15"/>
        <v>383</v>
      </c>
      <c r="I17" s="37">
        <f t="shared" si="17"/>
        <v>0</v>
      </c>
      <c r="J17" s="37">
        <f t="shared" si="0"/>
        <v>11.32</v>
      </c>
      <c r="K17" s="38">
        <f t="shared" si="16"/>
        <v>4335.5600000000004</v>
      </c>
      <c r="L17" s="244">
        <f t="shared" si="18"/>
        <v>0</v>
      </c>
      <c r="M17" s="213">
        <f t="shared" si="19"/>
        <v>0</v>
      </c>
      <c r="N17" s="98"/>
      <c r="O17" s="98">
        <f t="shared" si="1"/>
        <v>0</v>
      </c>
      <c r="P17" s="214">
        <f t="shared" si="20"/>
        <v>0</v>
      </c>
      <c r="Q17" s="98"/>
      <c r="R17" s="98">
        <f t="shared" si="2"/>
        <v>0</v>
      </c>
      <c r="S17" s="214">
        <f t="shared" si="21"/>
        <v>0</v>
      </c>
      <c r="T17" s="98"/>
      <c r="U17" s="98">
        <f t="shared" si="3"/>
        <v>0</v>
      </c>
      <c r="V17" s="214">
        <f t="shared" si="22"/>
        <v>0</v>
      </c>
      <c r="W17" s="98"/>
      <c r="X17" s="98">
        <f t="shared" si="4"/>
        <v>0</v>
      </c>
      <c r="Y17" s="214">
        <f t="shared" si="23"/>
        <v>0</v>
      </c>
      <c r="Z17" s="98"/>
      <c r="AA17" s="98">
        <f t="shared" si="5"/>
        <v>0</v>
      </c>
      <c r="AB17" s="214">
        <f t="shared" si="24"/>
        <v>0</v>
      </c>
      <c r="AC17" s="98"/>
      <c r="AD17" s="98">
        <f t="shared" si="6"/>
        <v>0</v>
      </c>
      <c r="AE17" s="214">
        <f t="shared" si="25"/>
        <v>0</v>
      </c>
      <c r="AF17" s="98"/>
      <c r="AG17" s="98">
        <f t="shared" si="7"/>
        <v>0</v>
      </c>
      <c r="AH17" s="214">
        <f t="shared" si="26"/>
        <v>0</v>
      </c>
      <c r="AI17" s="98"/>
      <c r="AJ17" s="98">
        <f t="shared" si="8"/>
        <v>0</v>
      </c>
      <c r="AK17" s="214">
        <f t="shared" si="27"/>
        <v>0</v>
      </c>
      <c r="AL17" s="98"/>
      <c r="AM17" s="98">
        <f t="shared" si="9"/>
        <v>0</v>
      </c>
      <c r="AN17" s="214">
        <f t="shared" si="28"/>
        <v>0</v>
      </c>
      <c r="AO17" s="98"/>
      <c r="AP17" s="98">
        <f t="shared" si="10"/>
        <v>0</v>
      </c>
      <c r="AQ17" s="214">
        <f t="shared" si="29"/>
        <v>0</v>
      </c>
      <c r="AR17" s="98"/>
      <c r="AS17" s="98">
        <f t="shared" si="11"/>
        <v>0</v>
      </c>
      <c r="AT17" s="214">
        <f t="shared" si="30"/>
        <v>0</v>
      </c>
      <c r="AU17" s="98"/>
      <c r="AV17" s="215">
        <f t="shared" si="12"/>
        <v>0</v>
      </c>
      <c r="AW17" s="214">
        <f t="shared" si="31"/>
        <v>0</v>
      </c>
      <c r="AX17" s="98">
        <f t="shared" si="32"/>
        <v>0</v>
      </c>
      <c r="AY17" s="204">
        <f t="shared" si="13"/>
        <v>0</v>
      </c>
      <c r="AZ17" s="214">
        <f t="shared" si="33"/>
        <v>100</v>
      </c>
      <c r="BA17" s="98">
        <f t="shared" si="34"/>
        <v>383</v>
      </c>
      <c r="BB17" s="204">
        <f t="shared" si="14"/>
        <v>4335.5600000000004</v>
      </c>
    </row>
    <row r="18" spans="1:54" s="218" customFormat="1" x14ac:dyDescent="0.2">
      <c r="A18" s="324" t="s">
        <v>115</v>
      </c>
      <c r="B18" s="28" t="s">
        <v>884</v>
      </c>
      <c r="C18" s="28" t="s">
        <v>885</v>
      </c>
      <c r="D18" s="58" t="s">
        <v>886</v>
      </c>
      <c r="E18" s="28" t="s">
        <v>275</v>
      </c>
      <c r="F18" s="410">
        <v>11.09</v>
      </c>
      <c r="G18" s="325">
        <v>366</v>
      </c>
      <c r="H18" s="325">
        <f t="shared" si="15"/>
        <v>366</v>
      </c>
      <c r="I18" s="37">
        <f t="shared" si="17"/>
        <v>0</v>
      </c>
      <c r="J18" s="37">
        <f t="shared" si="0"/>
        <v>13.95</v>
      </c>
      <c r="K18" s="38">
        <f t="shared" si="16"/>
        <v>5105.7</v>
      </c>
      <c r="L18" s="244">
        <f t="shared" si="18"/>
        <v>0</v>
      </c>
      <c r="M18" s="213">
        <f t="shared" si="19"/>
        <v>0</v>
      </c>
      <c r="N18" s="98"/>
      <c r="O18" s="98">
        <f t="shared" si="1"/>
        <v>0</v>
      </c>
      <c r="P18" s="214">
        <f t="shared" si="20"/>
        <v>0</v>
      </c>
      <c r="Q18" s="98"/>
      <c r="R18" s="98">
        <f t="shared" si="2"/>
        <v>0</v>
      </c>
      <c r="S18" s="214">
        <f t="shared" si="21"/>
        <v>0</v>
      </c>
      <c r="T18" s="98"/>
      <c r="U18" s="98">
        <f t="shared" si="3"/>
        <v>0</v>
      </c>
      <c r="V18" s="214">
        <f t="shared" si="22"/>
        <v>0</v>
      </c>
      <c r="W18" s="98"/>
      <c r="X18" s="98">
        <f t="shared" si="4"/>
        <v>0</v>
      </c>
      <c r="Y18" s="214">
        <f t="shared" si="23"/>
        <v>0</v>
      </c>
      <c r="Z18" s="98"/>
      <c r="AA18" s="98">
        <f t="shared" si="5"/>
        <v>0</v>
      </c>
      <c r="AB18" s="214">
        <f t="shared" si="24"/>
        <v>0</v>
      </c>
      <c r="AC18" s="98"/>
      <c r="AD18" s="98">
        <f t="shared" si="6"/>
        <v>0</v>
      </c>
      <c r="AE18" s="214">
        <f t="shared" si="25"/>
        <v>0</v>
      </c>
      <c r="AF18" s="98"/>
      <c r="AG18" s="98">
        <f t="shared" si="7"/>
        <v>0</v>
      </c>
      <c r="AH18" s="214">
        <f t="shared" si="26"/>
        <v>0</v>
      </c>
      <c r="AI18" s="98"/>
      <c r="AJ18" s="98">
        <f t="shared" si="8"/>
        <v>0</v>
      </c>
      <c r="AK18" s="214">
        <f t="shared" si="27"/>
        <v>0</v>
      </c>
      <c r="AL18" s="98"/>
      <c r="AM18" s="98">
        <f t="shared" si="9"/>
        <v>0</v>
      </c>
      <c r="AN18" s="214">
        <f t="shared" si="28"/>
        <v>0</v>
      </c>
      <c r="AO18" s="98"/>
      <c r="AP18" s="98">
        <f t="shared" si="10"/>
        <v>0</v>
      </c>
      <c r="AQ18" s="214">
        <f t="shared" si="29"/>
        <v>0</v>
      </c>
      <c r="AR18" s="98"/>
      <c r="AS18" s="98">
        <f t="shared" si="11"/>
        <v>0</v>
      </c>
      <c r="AT18" s="214">
        <f t="shared" si="30"/>
        <v>0</v>
      </c>
      <c r="AU18" s="98"/>
      <c r="AV18" s="215">
        <f t="shared" si="12"/>
        <v>0</v>
      </c>
      <c r="AW18" s="214">
        <f t="shared" si="31"/>
        <v>0</v>
      </c>
      <c r="AX18" s="98">
        <f t="shared" si="32"/>
        <v>0</v>
      </c>
      <c r="AY18" s="204">
        <f t="shared" si="13"/>
        <v>0</v>
      </c>
      <c r="AZ18" s="214">
        <f t="shared" si="33"/>
        <v>100</v>
      </c>
      <c r="BA18" s="98">
        <f t="shared" si="34"/>
        <v>366</v>
      </c>
      <c r="BB18" s="204">
        <f t="shared" si="14"/>
        <v>5105.7</v>
      </c>
    </row>
    <row r="19" spans="1:54" s="218" customFormat="1" x14ac:dyDescent="0.2">
      <c r="A19" s="324" t="s">
        <v>120</v>
      </c>
      <c r="B19" s="28" t="s">
        <v>887</v>
      </c>
      <c r="C19" s="28" t="s">
        <v>888</v>
      </c>
      <c r="D19" s="58" t="s">
        <v>889</v>
      </c>
      <c r="E19" s="28" t="s">
        <v>275</v>
      </c>
      <c r="F19" s="410">
        <v>15.33</v>
      </c>
      <c r="G19" s="325">
        <v>74</v>
      </c>
      <c r="H19" s="325">
        <f t="shared" si="15"/>
        <v>74</v>
      </c>
      <c r="I19" s="37">
        <f t="shared" si="17"/>
        <v>0</v>
      </c>
      <c r="J19" s="37">
        <f t="shared" si="0"/>
        <v>19.29</v>
      </c>
      <c r="K19" s="38">
        <f t="shared" si="16"/>
        <v>1427.46</v>
      </c>
      <c r="L19" s="244">
        <f t="shared" si="18"/>
        <v>0</v>
      </c>
      <c r="M19" s="213">
        <f t="shared" si="19"/>
        <v>0</v>
      </c>
      <c r="N19" s="98"/>
      <c r="O19" s="98">
        <f t="shared" si="1"/>
        <v>0</v>
      </c>
      <c r="P19" s="214">
        <f t="shared" si="20"/>
        <v>0</v>
      </c>
      <c r="Q19" s="98"/>
      <c r="R19" s="98">
        <f t="shared" si="2"/>
        <v>0</v>
      </c>
      <c r="S19" s="214">
        <f t="shared" si="21"/>
        <v>0</v>
      </c>
      <c r="T19" s="98"/>
      <c r="U19" s="98">
        <f t="shared" si="3"/>
        <v>0</v>
      </c>
      <c r="V19" s="214">
        <f t="shared" si="22"/>
        <v>0</v>
      </c>
      <c r="W19" s="98"/>
      <c r="X19" s="98">
        <f t="shared" si="4"/>
        <v>0</v>
      </c>
      <c r="Y19" s="214">
        <f t="shared" si="23"/>
        <v>0</v>
      </c>
      <c r="Z19" s="98"/>
      <c r="AA19" s="98">
        <f t="shared" si="5"/>
        <v>0</v>
      </c>
      <c r="AB19" s="214">
        <f t="shared" si="24"/>
        <v>0</v>
      </c>
      <c r="AC19" s="98"/>
      <c r="AD19" s="98">
        <f t="shared" si="6"/>
        <v>0</v>
      </c>
      <c r="AE19" s="214">
        <f t="shared" si="25"/>
        <v>0</v>
      </c>
      <c r="AF19" s="98"/>
      <c r="AG19" s="98">
        <f t="shared" si="7"/>
        <v>0</v>
      </c>
      <c r="AH19" s="214">
        <f t="shared" si="26"/>
        <v>0</v>
      </c>
      <c r="AI19" s="98"/>
      <c r="AJ19" s="98">
        <f t="shared" si="8"/>
        <v>0</v>
      </c>
      <c r="AK19" s="214">
        <f t="shared" si="27"/>
        <v>0</v>
      </c>
      <c r="AL19" s="98"/>
      <c r="AM19" s="98">
        <f t="shared" si="9"/>
        <v>0</v>
      </c>
      <c r="AN19" s="214">
        <f t="shared" si="28"/>
        <v>0</v>
      </c>
      <c r="AO19" s="98"/>
      <c r="AP19" s="98">
        <f t="shared" si="10"/>
        <v>0</v>
      </c>
      <c r="AQ19" s="214">
        <f t="shared" si="29"/>
        <v>0</v>
      </c>
      <c r="AR19" s="98"/>
      <c r="AS19" s="98">
        <f t="shared" si="11"/>
        <v>0</v>
      </c>
      <c r="AT19" s="214">
        <f t="shared" si="30"/>
        <v>0</v>
      </c>
      <c r="AU19" s="98"/>
      <c r="AV19" s="215">
        <f t="shared" si="12"/>
        <v>0</v>
      </c>
      <c r="AW19" s="214">
        <f t="shared" si="31"/>
        <v>0</v>
      </c>
      <c r="AX19" s="98">
        <f t="shared" si="32"/>
        <v>0</v>
      </c>
      <c r="AY19" s="204">
        <f t="shared" si="13"/>
        <v>0</v>
      </c>
      <c r="AZ19" s="214">
        <f t="shared" si="33"/>
        <v>100</v>
      </c>
      <c r="BA19" s="98">
        <f t="shared" si="34"/>
        <v>74</v>
      </c>
      <c r="BB19" s="204">
        <f t="shared" si="14"/>
        <v>1427.46</v>
      </c>
    </row>
    <row r="20" spans="1:54" s="218" customFormat="1" x14ac:dyDescent="0.2">
      <c r="A20" s="324" t="s">
        <v>890</v>
      </c>
      <c r="B20" s="28" t="s">
        <v>891</v>
      </c>
      <c r="C20" s="28" t="s">
        <v>892</v>
      </c>
      <c r="D20" s="58" t="s">
        <v>893</v>
      </c>
      <c r="E20" s="28" t="s">
        <v>275</v>
      </c>
      <c r="F20" s="410">
        <v>22.97</v>
      </c>
      <c r="G20" s="325">
        <v>312</v>
      </c>
      <c r="H20" s="325">
        <f t="shared" si="15"/>
        <v>312</v>
      </c>
      <c r="I20" s="37">
        <f>H20-G20</f>
        <v>0</v>
      </c>
      <c r="J20" s="37">
        <f t="shared" si="0"/>
        <v>28.9</v>
      </c>
      <c r="K20" s="38">
        <f>TRUNC(J20*G20,2)</f>
        <v>9016.7999999999993</v>
      </c>
      <c r="L20" s="244">
        <f>TRUNC(J20*I20,2)</f>
        <v>0</v>
      </c>
      <c r="M20" s="213">
        <f>N20/$H20*100</f>
        <v>0</v>
      </c>
      <c r="N20" s="98"/>
      <c r="O20" s="98">
        <f t="shared" si="1"/>
        <v>0</v>
      </c>
      <c r="P20" s="214">
        <f>Q20/$H20*100</f>
        <v>0</v>
      </c>
      <c r="Q20" s="98"/>
      <c r="R20" s="98">
        <f t="shared" si="2"/>
        <v>0</v>
      </c>
      <c r="S20" s="214">
        <f>T20/$H20*100</f>
        <v>0</v>
      </c>
      <c r="T20" s="98"/>
      <c r="U20" s="98">
        <f t="shared" si="3"/>
        <v>0</v>
      </c>
      <c r="V20" s="214">
        <f>W20/$H20*100</f>
        <v>0</v>
      </c>
      <c r="W20" s="98"/>
      <c r="X20" s="98">
        <f t="shared" si="4"/>
        <v>0</v>
      </c>
      <c r="Y20" s="214">
        <f>Z20/$H20*100</f>
        <v>0</v>
      </c>
      <c r="Z20" s="98"/>
      <c r="AA20" s="98">
        <f t="shared" si="5"/>
        <v>0</v>
      </c>
      <c r="AB20" s="214">
        <f>AC20/$H20*100</f>
        <v>0</v>
      </c>
      <c r="AC20" s="98"/>
      <c r="AD20" s="98">
        <f t="shared" si="6"/>
        <v>0</v>
      </c>
      <c r="AE20" s="214">
        <f>AF20/$H20*100</f>
        <v>0</v>
      </c>
      <c r="AF20" s="98"/>
      <c r="AG20" s="98">
        <f t="shared" si="7"/>
        <v>0</v>
      </c>
      <c r="AH20" s="214">
        <f>AI20/$H20*100</f>
        <v>0</v>
      </c>
      <c r="AI20" s="98"/>
      <c r="AJ20" s="98">
        <f t="shared" si="8"/>
        <v>0</v>
      </c>
      <c r="AK20" s="214">
        <f>AL20/$H20*100</f>
        <v>0</v>
      </c>
      <c r="AL20" s="98"/>
      <c r="AM20" s="98">
        <f t="shared" si="9"/>
        <v>0</v>
      </c>
      <c r="AN20" s="214">
        <f>AO20/$H20*100</f>
        <v>0</v>
      </c>
      <c r="AO20" s="98"/>
      <c r="AP20" s="98">
        <f t="shared" si="10"/>
        <v>0</v>
      </c>
      <c r="AQ20" s="214">
        <f>AR20/$H20*100</f>
        <v>0</v>
      </c>
      <c r="AR20" s="98"/>
      <c r="AS20" s="98">
        <f t="shared" si="11"/>
        <v>0</v>
      </c>
      <c r="AT20" s="214">
        <f>AU20/$H20*100</f>
        <v>0</v>
      </c>
      <c r="AU20" s="98"/>
      <c r="AV20" s="215">
        <f t="shared" si="12"/>
        <v>0</v>
      </c>
      <c r="AW20" s="214">
        <f>AX20/$H20*100</f>
        <v>0</v>
      </c>
      <c r="AX20" s="98">
        <f>Q20+N20+T20+W20+Z20+AC20+AF20+AI20+AL20+AO20+AR20+AU20</f>
        <v>0</v>
      </c>
      <c r="AY20" s="204">
        <f t="shared" si="13"/>
        <v>0</v>
      </c>
      <c r="AZ20" s="214">
        <f>BA20/$H20*100</f>
        <v>100</v>
      </c>
      <c r="BA20" s="98">
        <f>H20-AX20</f>
        <v>312</v>
      </c>
      <c r="BB20" s="204">
        <f t="shared" si="14"/>
        <v>9016.7999999999993</v>
      </c>
    </row>
    <row r="21" spans="1:54" s="218" customFormat="1" x14ac:dyDescent="0.2">
      <c r="A21" s="324" t="s">
        <v>894</v>
      </c>
      <c r="B21" s="28" t="s">
        <v>895</v>
      </c>
      <c r="C21" s="28" t="s">
        <v>896</v>
      </c>
      <c r="D21" s="58" t="s">
        <v>897</v>
      </c>
      <c r="E21" s="28" t="s">
        <v>275</v>
      </c>
      <c r="F21" s="410">
        <v>32.49</v>
      </c>
      <c r="G21" s="325">
        <v>312</v>
      </c>
      <c r="H21" s="325">
        <f t="shared" si="15"/>
        <v>312</v>
      </c>
      <c r="I21" s="37">
        <f t="shared" si="17"/>
        <v>0</v>
      </c>
      <c r="J21" s="37">
        <f t="shared" si="0"/>
        <v>40.880000000000003</v>
      </c>
      <c r="K21" s="38">
        <f t="shared" si="16"/>
        <v>12754.56</v>
      </c>
      <c r="L21" s="244">
        <f t="shared" si="18"/>
        <v>0</v>
      </c>
      <c r="M21" s="213">
        <f t="shared" si="19"/>
        <v>0</v>
      </c>
      <c r="N21" s="98"/>
      <c r="O21" s="98">
        <f t="shared" si="1"/>
        <v>0</v>
      </c>
      <c r="P21" s="214">
        <f t="shared" si="20"/>
        <v>0</v>
      </c>
      <c r="Q21" s="98"/>
      <c r="R21" s="98">
        <f t="shared" si="2"/>
        <v>0</v>
      </c>
      <c r="S21" s="214">
        <f t="shared" si="21"/>
        <v>0</v>
      </c>
      <c r="T21" s="98"/>
      <c r="U21" s="98">
        <f t="shared" si="3"/>
        <v>0</v>
      </c>
      <c r="V21" s="214">
        <f t="shared" si="22"/>
        <v>0</v>
      </c>
      <c r="W21" s="98"/>
      <c r="X21" s="98">
        <f t="shared" si="4"/>
        <v>0</v>
      </c>
      <c r="Y21" s="214">
        <f t="shared" si="23"/>
        <v>0</v>
      </c>
      <c r="Z21" s="98"/>
      <c r="AA21" s="98">
        <f t="shared" si="5"/>
        <v>0</v>
      </c>
      <c r="AB21" s="214">
        <f t="shared" si="24"/>
        <v>0</v>
      </c>
      <c r="AC21" s="98"/>
      <c r="AD21" s="98">
        <f t="shared" si="6"/>
        <v>0</v>
      </c>
      <c r="AE21" s="214">
        <f t="shared" si="25"/>
        <v>0</v>
      </c>
      <c r="AF21" s="98"/>
      <c r="AG21" s="98">
        <f t="shared" si="7"/>
        <v>0</v>
      </c>
      <c r="AH21" s="214">
        <f t="shared" si="26"/>
        <v>0</v>
      </c>
      <c r="AI21" s="98"/>
      <c r="AJ21" s="98">
        <f t="shared" si="8"/>
        <v>0</v>
      </c>
      <c r="AK21" s="214">
        <f t="shared" si="27"/>
        <v>0</v>
      </c>
      <c r="AL21" s="98"/>
      <c r="AM21" s="98">
        <f t="shared" si="9"/>
        <v>0</v>
      </c>
      <c r="AN21" s="214">
        <f t="shared" si="28"/>
        <v>0</v>
      </c>
      <c r="AO21" s="98"/>
      <c r="AP21" s="98">
        <f t="shared" si="10"/>
        <v>0</v>
      </c>
      <c r="AQ21" s="214">
        <f t="shared" si="29"/>
        <v>0</v>
      </c>
      <c r="AR21" s="98"/>
      <c r="AS21" s="98">
        <f t="shared" si="11"/>
        <v>0</v>
      </c>
      <c r="AT21" s="214">
        <f t="shared" si="30"/>
        <v>0</v>
      </c>
      <c r="AU21" s="98"/>
      <c r="AV21" s="215">
        <f t="shared" si="12"/>
        <v>0</v>
      </c>
      <c r="AW21" s="214">
        <f t="shared" si="31"/>
        <v>0</v>
      </c>
      <c r="AX21" s="98">
        <f t="shared" si="32"/>
        <v>0</v>
      </c>
      <c r="AY21" s="204">
        <f t="shared" si="13"/>
        <v>0</v>
      </c>
      <c r="AZ21" s="214">
        <f t="shared" si="33"/>
        <v>100</v>
      </c>
      <c r="BA21" s="98">
        <f t="shared" si="34"/>
        <v>312</v>
      </c>
      <c r="BB21" s="204">
        <f t="shared" si="14"/>
        <v>12754.56</v>
      </c>
    </row>
    <row r="22" spans="1:54" s="218" customFormat="1" x14ac:dyDescent="0.2">
      <c r="A22" s="324" t="s">
        <v>898</v>
      </c>
      <c r="B22" s="28" t="s">
        <v>899</v>
      </c>
      <c r="C22" s="28" t="s">
        <v>900</v>
      </c>
      <c r="D22" s="58" t="s">
        <v>901</v>
      </c>
      <c r="E22" s="28" t="s">
        <v>275</v>
      </c>
      <c r="F22" s="410">
        <v>35.15</v>
      </c>
      <c r="G22" s="325">
        <v>348</v>
      </c>
      <c r="H22" s="325">
        <f t="shared" si="15"/>
        <v>348</v>
      </c>
      <c r="I22" s="37">
        <f t="shared" si="17"/>
        <v>0</v>
      </c>
      <c r="J22" s="37">
        <f t="shared" si="0"/>
        <v>44.22</v>
      </c>
      <c r="K22" s="38">
        <f t="shared" si="16"/>
        <v>15388.56</v>
      </c>
      <c r="L22" s="244">
        <f t="shared" si="18"/>
        <v>0</v>
      </c>
      <c r="M22" s="213">
        <f t="shared" si="19"/>
        <v>0</v>
      </c>
      <c r="N22" s="98"/>
      <c r="O22" s="98">
        <f t="shared" si="1"/>
        <v>0</v>
      </c>
      <c r="P22" s="214">
        <f t="shared" si="20"/>
        <v>0</v>
      </c>
      <c r="Q22" s="98"/>
      <c r="R22" s="98">
        <f t="shared" si="2"/>
        <v>0</v>
      </c>
      <c r="S22" s="214">
        <f t="shared" si="21"/>
        <v>0</v>
      </c>
      <c r="T22" s="98"/>
      <c r="U22" s="98">
        <f t="shared" si="3"/>
        <v>0</v>
      </c>
      <c r="V22" s="214">
        <f t="shared" si="22"/>
        <v>0</v>
      </c>
      <c r="W22" s="98"/>
      <c r="X22" s="98">
        <f t="shared" si="4"/>
        <v>0</v>
      </c>
      <c r="Y22" s="214">
        <f t="shared" si="23"/>
        <v>0</v>
      </c>
      <c r="Z22" s="98"/>
      <c r="AA22" s="98">
        <f t="shared" si="5"/>
        <v>0</v>
      </c>
      <c r="AB22" s="214">
        <f t="shared" si="24"/>
        <v>0</v>
      </c>
      <c r="AC22" s="98"/>
      <c r="AD22" s="98">
        <f t="shared" si="6"/>
        <v>0</v>
      </c>
      <c r="AE22" s="214">
        <f t="shared" si="25"/>
        <v>0</v>
      </c>
      <c r="AF22" s="98"/>
      <c r="AG22" s="98">
        <f t="shared" si="7"/>
        <v>0</v>
      </c>
      <c r="AH22" s="214">
        <f t="shared" si="26"/>
        <v>0</v>
      </c>
      <c r="AI22" s="98"/>
      <c r="AJ22" s="98">
        <f t="shared" si="8"/>
        <v>0</v>
      </c>
      <c r="AK22" s="214">
        <f t="shared" si="27"/>
        <v>0</v>
      </c>
      <c r="AL22" s="98"/>
      <c r="AM22" s="98">
        <f t="shared" si="9"/>
        <v>0</v>
      </c>
      <c r="AN22" s="214">
        <f t="shared" si="28"/>
        <v>0</v>
      </c>
      <c r="AO22" s="98"/>
      <c r="AP22" s="98">
        <f t="shared" si="10"/>
        <v>0</v>
      </c>
      <c r="AQ22" s="214">
        <f t="shared" si="29"/>
        <v>0</v>
      </c>
      <c r="AR22" s="98"/>
      <c r="AS22" s="98">
        <f t="shared" si="11"/>
        <v>0</v>
      </c>
      <c r="AT22" s="214">
        <f t="shared" si="30"/>
        <v>0</v>
      </c>
      <c r="AU22" s="98"/>
      <c r="AV22" s="215">
        <f t="shared" si="12"/>
        <v>0</v>
      </c>
      <c r="AW22" s="214">
        <f t="shared" si="31"/>
        <v>0</v>
      </c>
      <c r="AX22" s="98">
        <f t="shared" si="32"/>
        <v>0</v>
      </c>
      <c r="AY22" s="204">
        <f t="shared" si="13"/>
        <v>0</v>
      </c>
      <c r="AZ22" s="214">
        <f t="shared" si="33"/>
        <v>100</v>
      </c>
      <c r="BA22" s="98">
        <f t="shared" si="34"/>
        <v>348</v>
      </c>
      <c r="BB22" s="204">
        <f t="shared" si="14"/>
        <v>15388.56</v>
      </c>
    </row>
    <row r="23" spans="1:54" s="218" customFormat="1" ht="28.5" x14ac:dyDescent="0.2">
      <c r="A23" s="324" t="s">
        <v>902</v>
      </c>
      <c r="B23" s="87" t="s">
        <v>104</v>
      </c>
      <c r="C23" s="87" t="s">
        <v>104</v>
      </c>
      <c r="D23" s="92" t="s">
        <v>903</v>
      </c>
      <c r="E23" s="28" t="s">
        <v>904</v>
      </c>
      <c r="F23" s="358">
        <f>1.25*32.36</f>
        <v>40.450000000000003</v>
      </c>
      <c r="G23" s="325">
        <v>1</v>
      </c>
      <c r="H23" s="325">
        <f t="shared" si="15"/>
        <v>1</v>
      </c>
      <c r="I23" s="37">
        <f t="shared" si="17"/>
        <v>0</v>
      </c>
      <c r="J23" s="37">
        <f t="shared" si="0"/>
        <v>50.89</v>
      </c>
      <c r="K23" s="38">
        <f t="shared" si="16"/>
        <v>50.89</v>
      </c>
      <c r="L23" s="244">
        <f t="shared" si="18"/>
        <v>0</v>
      </c>
      <c r="M23" s="213">
        <f t="shared" si="19"/>
        <v>0</v>
      </c>
      <c r="N23" s="98"/>
      <c r="O23" s="98">
        <f t="shared" si="1"/>
        <v>0</v>
      </c>
      <c r="P23" s="214">
        <f t="shared" si="20"/>
        <v>0</v>
      </c>
      <c r="Q23" s="98"/>
      <c r="R23" s="98">
        <f t="shared" si="2"/>
        <v>0</v>
      </c>
      <c r="S23" s="214">
        <f t="shared" si="21"/>
        <v>0</v>
      </c>
      <c r="T23" s="98"/>
      <c r="U23" s="98">
        <f t="shared" si="3"/>
        <v>0</v>
      </c>
      <c r="V23" s="214">
        <f t="shared" si="22"/>
        <v>0</v>
      </c>
      <c r="W23" s="98"/>
      <c r="X23" s="98">
        <f t="shared" si="4"/>
        <v>0</v>
      </c>
      <c r="Y23" s="214">
        <f t="shared" si="23"/>
        <v>0</v>
      </c>
      <c r="Z23" s="98"/>
      <c r="AA23" s="98">
        <f t="shared" si="5"/>
        <v>0</v>
      </c>
      <c r="AB23" s="214">
        <f t="shared" si="24"/>
        <v>0</v>
      </c>
      <c r="AC23" s="98"/>
      <c r="AD23" s="98">
        <f t="shared" si="6"/>
        <v>0</v>
      </c>
      <c r="AE23" s="214">
        <f t="shared" si="25"/>
        <v>0</v>
      </c>
      <c r="AF23" s="98"/>
      <c r="AG23" s="98">
        <f t="shared" si="7"/>
        <v>0</v>
      </c>
      <c r="AH23" s="214">
        <f t="shared" si="26"/>
        <v>0</v>
      </c>
      <c r="AI23" s="98"/>
      <c r="AJ23" s="98">
        <f t="shared" si="8"/>
        <v>0</v>
      </c>
      <c r="AK23" s="214">
        <f t="shared" si="27"/>
        <v>0</v>
      </c>
      <c r="AL23" s="98"/>
      <c r="AM23" s="98">
        <f t="shared" si="9"/>
        <v>0</v>
      </c>
      <c r="AN23" s="214">
        <f t="shared" si="28"/>
        <v>0</v>
      </c>
      <c r="AO23" s="98"/>
      <c r="AP23" s="98">
        <f t="shared" si="10"/>
        <v>0</v>
      </c>
      <c r="AQ23" s="214">
        <f t="shared" si="29"/>
        <v>0</v>
      </c>
      <c r="AR23" s="98"/>
      <c r="AS23" s="98">
        <f t="shared" si="11"/>
        <v>0</v>
      </c>
      <c r="AT23" s="214">
        <f t="shared" si="30"/>
        <v>0</v>
      </c>
      <c r="AU23" s="98"/>
      <c r="AV23" s="215">
        <f t="shared" si="12"/>
        <v>0</v>
      </c>
      <c r="AW23" s="214">
        <f t="shared" si="31"/>
        <v>0</v>
      </c>
      <c r="AX23" s="98">
        <f t="shared" si="32"/>
        <v>0</v>
      </c>
      <c r="AY23" s="204">
        <f t="shared" si="13"/>
        <v>0</v>
      </c>
      <c r="AZ23" s="214">
        <f t="shared" si="33"/>
        <v>100</v>
      </c>
      <c r="BA23" s="98">
        <f t="shared" si="34"/>
        <v>1</v>
      </c>
      <c r="BB23" s="204">
        <f t="shared" si="14"/>
        <v>50.89</v>
      </c>
    </row>
    <row r="24" spans="1:54" s="218" customFormat="1" ht="28.5" x14ac:dyDescent="0.2">
      <c r="A24" s="324" t="s">
        <v>905</v>
      </c>
      <c r="B24" s="87" t="s">
        <v>104</v>
      </c>
      <c r="C24" s="87" t="s">
        <v>104</v>
      </c>
      <c r="D24" s="92" t="s">
        <v>906</v>
      </c>
      <c r="E24" s="28" t="s">
        <v>904</v>
      </c>
      <c r="F24" s="358">
        <f>1.25*54.48</f>
        <v>68.099999999999994</v>
      </c>
      <c r="G24" s="325">
        <v>10</v>
      </c>
      <c r="H24" s="325">
        <f t="shared" si="15"/>
        <v>10</v>
      </c>
      <c r="I24" s="37">
        <f t="shared" si="17"/>
        <v>0</v>
      </c>
      <c r="J24" s="37">
        <f t="shared" si="0"/>
        <v>85.68</v>
      </c>
      <c r="K24" s="38">
        <f t="shared" si="16"/>
        <v>856.8</v>
      </c>
      <c r="L24" s="244">
        <f t="shared" si="18"/>
        <v>0</v>
      </c>
      <c r="M24" s="213">
        <f t="shared" si="19"/>
        <v>0</v>
      </c>
      <c r="N24" s="98"/>
      <c r="O24" s="98">
        <f t="shared" si="1"/>
        <v>0</v>
      </c>
      <c r="P24" s="214">
        <f t="shared" si="20"/>
        <v>0</v>
      </c>
      <c r="Q24" s="98"/>
      <c r="R24" s="98">
        <f t="shared" si="2"/>
        <v>0</v>
      </c>
      <c r="S24" s="214">
        <f t="shared" si="21"/>
        <v>0</v>
      </c>
      <c r="T24" s="98"/>
      <c r="U24" s="98">
        <f t="shared" si="3"/>
        <v>0</v>
      </c>
      <c r="V24" s="214">
        <f t="shared" si="22"/>
        <v>0</v>
      </c>
      <c r="W24" s="98"/>
      <c r="X24" s="98">
        <f t="shared" si="4"/>
        <v>0</v>
      </c>
      <c r="Y24" s="214">
        <f t="shared" si="23"/>
        <v>0</v>
      </c>
      <c r="Z24" s="98"/>
      <c r="AA24" s="98">
        <f t="shared" si="5"/>
        <v>0</v>
      </c>
      <c r="AB24" s="214">
        <f t="shared" si="24"/>
        <v>0</v>
      </c>
      <c r="AC24" s="98"/>
      <c r="AD24" s="98">
        <f t="shared" si="6"/>
        <v>0</v>
      </c>
      <c r="AE24" s="214">
        <f t="shared" si="25"/>
        <v>0</v>
      </c>
      <c r="AF24" s="98"/>
      <c r="AG24" s="98">
        <f t="shared" si="7"/>
        <v>0</v>
      </c>
      <c r="AH24" s="214">
        <f t="shared" si="26"/>
        <v>0</v>
      </c>
      <c r="AI24" s="98"/>
      <c r="AJ24" s="98">
        <f t="shared" si="8"/>
        <v>0</v>
      </c>
      <c r="AK24" s="214">
        <f t="shared" si="27"/>
        <v>0</v>
      </c>
      <c r="AL24" s="98"/>
      <c r="AM24" s="98">
        <f t="shared" si="9"/>
        <v>0</v>
      </c>
      <c r="AN24" s="214">
        <f t="shared" si="28"/>
        <v>0</v>
      </c>
      <c r="AO24" s="98"/>
      <c r="AP24" s="98">
        <f t="shared" si="10"/>
        <v>0</v>
      </c>
      <c r="AQ24" s="214">
        <f t="shared" si="29"/>
        <v>0</v>
      </c>
      <c r="AR24" s="98"/>
      <c r="AS24" s="98">
        <f t="shared" si="11"/>
        <v>0</v>
      </c>
      <c r="AT24" s="214">
        <f t="shared" si="30"/>
        <v>0</v>
      </c>
      <c r="AU24" s="98"/>
      <c r="AV24" s="215">
        <f t="shared" si="12"/>
        <v>0</v>
      </c>
      <c r="AW24" s="214">
        <f t="shared" si="31"/>
        <v>0</v>
      </c>
      <c r="AX24" s="98">
        <f t="shared" si="32"/>
        <v>0</v>
      </c>
      <c r="AY24" s="204">
        <f t="shared" si="13"/>
        <v>0</v>
      </c>
      <c r="AZ24" s="214">
        <f t="shared" si="33"/>
        <v>100</v>
      </c>
      <c r="BA24" s="98">
        <f t="shared" si="34"/>
        <v>10</v>
      </c>
      <c r="BB24" s="204">
        <f t="shared" si="14"/>
        <v>856.8</v>
      </c>
    </row>
    <row r="25" spans="1:54" s="218" customFormat="1" ht="28.5" x14ac:dyDescent="0.2">
      <c r="A25" s="324" t="s">
        <v>907</v>
      </c>
      <c r="B25" s="87" t="s">
        <v>104</v>
      </c>
      <c r="C25" s="87" t="s">
        <v>104</v>
      </c>
      <c r="D25" s="92" t="s">
        <v>908</v>
      </c>
      <c r="E25" s="28" t="s">
        <v>904</v>
      </c>
      <c r="F25" s="358">
        <f>1.25*116.66</f>
        <v>145.82499999999999</v>
      </c>
      <c r="G25" s="325">
        <v>3</v>
      </c>
      <c r="H25" s="325">
        <f t="shared" si="15"/>
        <v>3</v>
      </c>
      <c r="I25" s="37">
        <f t="shared" si="17"/>
        <v>0</v>
      </c>
      <c r="J25" s="37">
        <f t="shared" si="0"/>
        <v>183.46</v>
      </c>
      <c r="K25" s="38">
        <f t="shared" si="16"/>
        <v>550.38</v>
      </c>
      <c r="L25" s="244">
        <f t="shared" si="18"/>
        <v>0</v>
      </c>
      <c r="M25" s="213">
        <f t="shared" si="19"/>
        <v>0</v>
      </c>
      <c r="N25" s="98"/>
      <c r="O25" s="98">
        <f t="shared" si="1"/>
        <v>0</v>
      </c>
      <c r="P25" s="214">
        <f t="shared" si="20"/>
        <v>0</v>
      </c>
      <c r="Q25" s="98"/>
      <c r="R25" s="98">
        <f t="shared" si="2"/>
        <v>0</v>
      </c>
      <c r="S25" s="214">
        <f t="shared" si="21"/>
        <v>0</v>
      </c>
      <c r="T25" s="98"/>
      <c r="U25" s="98">
        <f t="shared" si="3"/>
        <v>0</v>
      </c>
      <c r="V25" s="214">
        <f t="shared" si="22"/>
        <v>0</v>
      </c>
      <c r="W25" s="98"/>
      <c r="X25" s="98">
        <f t="shared" si="4"/>
        <v>0</v>
      </c>
      <c r="Y25" s="214">
        <f t="shared" si="23"/>
        <v>0</v>
      </c>
      <c r="Z25" s="98"/>
      <c r="AA25" s="98">
        <f t="shared" si="5"/>
        <v>0</v>
      </c>
      <c r="AB25" s="214">
        <f t="shared" si="24"/>
        <v>0</v>
      </c>
      <c r="AC25" s="98"/>
      <c r="AD25" s="98">
        <f t="shared" si="6"/>
        <v>0</v>
      </c>
      <c r="AE25" s="214">
        <f t="shared" si="25"/>
        <v>0</v>
      </c>
      <c r="AF25" s="98"/>
      <c r="AG25" s="98">
        <f t="shared" si="7"/>
        <v>0</v>
      </c>
      <c r="AH25" s="214">
        <f t="shared" si="26"/>
        <v>0</v>
      </c>
      <c r="AI25" s="98"/>
      <c r="AJ25" s="98">
        <f t="shared" si="8"/>
        <v>0</v>
      </c>
      <c r="AK25" s="214">
        <f t="shared" si="27"/>
        <v>0</v>
      </c>
      <c r="AL25" s="98"/>
      <c r="AM25" s="98">
        <f t="shared" si="9"/>
        <v>0</v>
      </c>
      <c r="AN25" s="214">
        <f t="shared" si="28"/>
        <v>0</v>
      </c>
      <c r="AO25" s="98"/>
      <c r="AP25" s="98">
        <f t="shared" si="10"/>
        <v>0</v>
      </c>
      <c r="AQ25" s="214">
        <f t="shared" si="29"/>
        <v>0</v>
      </c>
      <c r="AR25" s="98"/>
      <c r="AS25" s="98">
        <f t="shared" si="11"/>
        <v>0</v>
      </c>
      <c r="AT25" s="214">
        <f t="shared" si="30"/>
        <v>0</v>
      </c>
      <c r="AU25" s="98"/>
      <c r="AV25" s="215">
        <f t="shared" si="12"/>
        <v>0</v>
      </c>
      <c r="AW25" s="214">
        <f t="shared" si="31"/>
        <v>0</v>
      </c>
      <c r="AX25" s="98">
        <f t="shared" si="32"/>
        <v>0</v>
      </c>
      <c r="AY25" s="204">
        <f t="shared" si="13"/>
        <v>0</v>
      </c>
      <c r="AZ25" s="214">
        <f t="shared" si="33"/>
        <v>100</v>
      </c>
      <c r="BA25" s="98">
        <f t="shared" si="34"/>
        <v>3</v>
      </c>
      <c r="BB25" s="204">
        <f t="shared" si="14"/>
        <v>550.38</v>
      </c>
    </row>
    <row r="26" spans="1:54" s="218" customFormat="1" ht="28.5" x14ac:dyDescent="0.2">
      <c r="A26" s="324" t="s">
        <v>909</v>
      </c>
      <c r="B26" s="87" t="s">
        <v>104</v>
      </c>
      <c r="C26" s="87" t="s">
        <v>104</v>
      </c>
      <c r="D26" s="92" t="s">
        <v>910</v>
      </c>
      <c r="E26" s="28" t="s">
        <v>904</v>
      </c>
      <c r="F26" s="358">
        <f>1.25*204.19</f>
        <v>255.23750000000001</v>
      </c>
      <c r="G26" s="325">
        <v>2</v>
      </c>
      <c r="H26" s="325">
        <f t="shared" si="15"/>
        <v>2</v>
      </c>
      <c r="I26" s="37">
        <f t="shared" si="17"/>
        <v>0</v>
      </c>
      <c r="J26" s="37">
        <f t="shared" si="0"/>
        <v>321.11</v>
      </c>
      <c r="K26" s="38">
        <f t="shared" si="16"/>
        <v>642.22</v>
      </c>
      <c r="L26" s="244">
        <f t="shared" si="18"/>
        <v>0</v>
      </c>
      <c r="M26" s="213">
        <f t="shared" si="19"/>
        <v>0</v>
      </c>
      <c r="N26" s="98"/>
      <c r="O26" s="98">
        <f t="shared" si="1"/>
        <v>0</v>
      </c>
      <c r="P26" s="214">
        <f t="shared" si="20"/>
        <v>0</v>
      </c>
      <c r="Q26" s="98"/>
      <c r="R26" s="98">
        <f t="shared" si="2"/>
        <v>0</v>
      </c>
      <c r="S26" s="214">
        <f t="shared" si="21"/>
        <v>0</v>
      </c>
      <c r="T26" s="98"/>
      <c r="U26" s="98">
        <f t="shared" si="3"/>
        <v>0</v>
      </c>
      <c r="V26" s="214">
        <f t="shared" si="22"/>
        <v>0</v>
      </c>
      <c r="W26" s="98"/>
      <c r="X26" s="98">
        <f t="shared" si="4"/>
        <v>0</v>
      </c>
      <c r="Y26" s="214">
        <f t="shared" si="23"/>
        <v>0</v>
      </c>
      <c r="Z26" s="98"/>
      <c r="AA26" s="98">
        <f t="shared" si="5"/>
        <v>0</v>
      </c>
      <c r="AB26" s="214">
        <f t="shared" si="24"/>
        <v>0</v>
      </c>
      <c r="AC26" s="98"/>
      <c r="AD26" s="98">
        <f t="shared" si="6"/>
        <v>0</v>
      </c>
      <c r="AE26" s="214">
        <f t="shared" si="25"/>
        <v>0</v>
      </c>
      <c r="AF26" s="98"/>
      <c r="AG26" s="98">
        <f t="shared" si="7"/>
        <v>0</v>
      </c>
      <c r="AH26" s="214">
        <f t="shared" si="26"/>
        <v>0</v>
      </c>
      <c r="AI26" s="98"/>
      <c r="AJ26" s="98">
        <f t="shared" si="8"/>
        <v>0</v>
      </c>
      <c r="AK26" s="214">
        <f t="shared" si="27"/>
        <v>0</v>
      </c>
      <c r="AL26" s="98"/>
      <c r="AM26" s="98">
        <f t="shared" si="9"/>
        <v>0</v>
      </c>
      <c r="AN26" s="214">
        <f t="shared" si="28"/>
        <v>0</v>
      </c>
      <c r="AO26" s="98"/>
      <c r="AP26" s="98">
        <f t="shared" si="10"/>
        <v>0</v>
      </c>
      <c r="AQ26" s="214">
        <f t="shared" si="29"/>
        <v>0</v>
      </c>
      <c r="AR26" s="98"/>
      <c r="AS26" s="98">
        <f t="shared" si="11"/>
        <v>0</v>
      </c>
      <c r="AT26" s="214">
        <f t="shared" si="30"/>
        <v>0</v>
      </c>
      <c r="AU26" s="98"/>
      <c r="AV26" s="215">
        <f t="shared" si="12"/>
        <v>0</v>
      </c>
      <c r="AW26" s="214">
        <f t="shared" si="31"/>
        <v>0</v>
      </c>
      <c r="AX26" s="98">
        <f t="shared" si="32"/>
        <v>0</v>
      </c>
      <c r="AY26" s="204">
        <f t="shared" si="13"/>
        <v>0</v>
      </c>
      <c r="AZ26" s="214">
        <f t="shared" si="33"/>
        <v>100</v>
      </c>
      <c r="BA26" s="98">
        <f t="shared" si="34"/>
        <v>2</v>
      </c>
      <c r="BB26" s="204">
        <f t="shared" si="14"/>
        <v>642.22</v>
      </c>
    </row>
    <row r="27" spans="1:54" s="218" customFormat="1" ht="28.5" x14ac:dyDescent="0.2">
      <c r="A27" s="324" t="s">
        <v>911</v>
      </c>
      <c r="B27" s="87" t="s">
        <v>104</v>
      </c>
      <c r="C27" s="87" t="s">
        <v>104</v>
      </c>
      <c r="D27" s="92" t="s">
        <v>912</v>
      </c>
      <c r="E27" s="28" t="s">
        <v>904</v>
      </c>
      <c r="F27" s="358">
        <f>1.25*274</f>
        <v>342.5</v>
      </c>
      <c r="G27" s="325">
        <v>1</v>
      </c>
      <c r="H27" s="325">
        <f t="shared" si="15"/>
        <v>1</v>
      </c>
      <c r="I27" s="37">
        <f t="shared" si="17"/>
        <v>0</v>
      </c>
      <c r="J27" s="37">
        <f t="shared" si="0"/>
        <v>430.9</v>
      </c>
      <c r="K27" s="38">
        <f t="shared" si="16"/>
        <v>430.9</v>
      </c>
      <c r="L27" s="244">
        <f t="shared" si="18"/>
        <v>0</v>
      </c>
      <c r="M27" s="213">
        <f t="shared" si="19"/>
        <v>0</v>
      </c>
      <c r="N27" s="98"/>
      <c r="O27" s="98">
        <f t="shared" si="1"/>
        <v>0</v>
      </c>
      <c r="P27" s="214">
        <f t="shared" si="20"/>
        <v>0</v>
      </c>
      <c r="Q27" s="98"/>
      <c r="R27" s="98">
        <f t="shared" si="2"/>
        <v>0</v>
      </c>
      <c r="S27" s="214">
        <f t="shared" si="21"/>
        <v>0</v>
      </c>
      <c r="T27" s="98"/>
      <c r="U27" s="98">
        <f t="shared" si="3"/>
        <v>0</v>
      </c>
      <c r="V27" s="214">
        <f t="shared" si="22"/>
        <v>0</v>
      </c>
      <c r="W27" s="98"/>
      <c r="X27" s="98">
        <f t="shared" si="4"/>
        <v>0</v>
      </c>
      <c r="Y27" s="214">
        <f t="shared" si="23"/>
        <v>0</v>
      </c>
      <c r="Z27" s="98"/>
      <c r="AA27" s="98">
        <f t="shared" si="5"/>
        <v>0</v>
      </c>
      <c r="AB27" s="214">
        <f t="shared" si="24"/>
        <v>0</v>
      </c>
      <c r="AC27" s="98"/>
      <c r="AD27" s="98">
        <f t="shared" si="6"/>
        <v>0</v>
      </c>
      <c r="AE27" s="214">
        <f t="shared" si="25"/>
        <v>0</v>
      </c>
      <c r="AF27" s="98"/>
      <c r="AG27" s="98">
        <f t="shared" si="7"/>
        <v>0</v>
      </c>
      <c r="AH27" s="214">
        <f t="shared" si="26"/>
        <v>0</v>
      </c>
      <c r="AI27" s="98"/>
      <c r="AJ27" s="98">
        <f t="shared" si="8"/>
        <v>0</v>
      </c>
      <c r="AK27" s="214">
        <f t="shared" si="27"/>
        <v>0</v>
      </c>
      <c r="AL27" s="98"/>
      <c r="AM27" s="98">
        <f t="shared" si="9"/>
        <v>0</v>
      </c>
      <c r="AN27" s="214">
        <f t="shared" si="28"/>
        <v>0</v>
      </c>
      <c r="AO27" s="98"/>
      <c r="AP27" s="98">
        <f t="shared" si="10"/>
        <v>0</v>
      </c>
      <c r="AQ27" s="214">
        <f t="shared" si="29"/>
        <v>0</v>
      </c>
      <c r="AR27" s="98"/>
      <c r="AS27" s="98">
        <f t="shared" si="11"/>
        <v>0</v>
      </c>
      <c r="AT27" s="214">
        <f t="shared" si="30"/>
        <v>0</v>
      </c>
      <c r="AU27" s="98"/>
      <c r="AV27" s="215">
        <f t="shared" si="12"/>
        <v>0</v>
      </c>
      <c r="AW27" s="214">
        <f t="shared" si="31"/>
        <v>0</v>
      </c>
      <c r="AX27" s="98">
        <f t="shared" si="32"/>
        <v>0</v>
      </c>
      <c r="AY27" s="204">
        <f t="shared" si="13"/>
        <v>0</v>
      </c>
      <c r="AZ27" s="214">
        <f t="shared" si="33"/>
        <v>100</v>
      </c>
      <c r="BA27" s="98">
        <f t="shared" si="34"/>
        <v>1</v>
      </c>
      <c r="BB27" s="204">
        <f t="shared" si="14"/>
        <v>430.9</v>
      </c>
    </row>
    <row r="28" spans="1:54" s="218" customFormat="1" x14ac:dyDescent="0.2">
      <c r="A28" s="324" t="s">
        <v>913</v>
      </c>
      <c r="B28" s="28" t="s">
        <v>914</v>
      </c>
      <c r="C28" s="28" t="s">
        <v>915</v>
      </c>
      <c r="D28" s="58" t="s">
        <v>916</v>
      </c>
      <c r="E28" s="28" t="s">
        <v>110</v>
      </c>
      <c r="F28" s="410">
        <v>6.01</v>
      </c>
      <c r="G28" s="325">
        <v>9</v>
      </c>
      <c r="H28" s="325">
        <f t="shared" si="15"/>
        <v>9</v>
      </c>
      <c r="I28" s="37">
        <f t="shared" si="17"/>
        <v>0</v>
      </c>
      <c r="J28" s="37">
        <f t="shared" si="0"/>
        <v>7.56</v>
      </c>
      <c r="K28" s="38">
        <f t="shared" si="16"/>
        <v>68.040000000000006</v>
      </c>
      <c r="L28" s="244">
        <f t="shared" si="18"/>
        <v>0</v>
      </c>
      <c r="M28" s="213">
        <f t="shared" si="19"/>
        <v>0</v>
      </c>
      <c r="N28" s="98"/>
      <c r="O28" s="98">
        <f t="shared" si="1"/>
        <v>0</v>
      </c>
      <c r="P28" s="214">
        <f t="shared" si="20"/>
        <v>0</v>
      </c>
      <c r="Q28" s="98"/>
      <c r="R28" s="98">
        <f t="shared" si="2"/>
        <v>0</v>
      </c>
      <c r="S28" s="214">
        <f t="shared" si="21"/>
        <v>0</v>
      </c>
      <c r="T28" s="98"/>
      <c r="U28" s="98">
        <f t="shared" si="3"/>
        <v>0</v>
      </c>
      <c r="V28" s="214">
        <f t="shared" si="22"/>
        <v>0</v>
      </c>
      <c r="W28" s="98"/>
      <c r="X28" s="98">
        <f t="shared" si="4"/>
        <v>0</v>
      </c>
      <c r="Y28" s="214">
        <f t="shared" si="23"/>
        <v>0</v>
      </c>
      <c r="Z28" s="98"/>
      <c r="AA28" s="98">
        <f t="shared" si="5"/>
        <v>0</v>
      </c>
      <c r="AB28" s="214">
        <f t="shared" si="24"/>
        <v>0</v>
      </c>
      <c r="AC28" s="98"/>
      <c r="AD28" s="98">
        <f t="shared" si="6"/>
        <v>0</v>
      </c>
      <c r="AE28" s="214">
        <f t="shared" si="25"/>
        <v>0</v>
      </c>
      <c r="AF28" s="98"/>
      <c r="AG28" s="98">
        <f t="shared" si="7"/>
        <v>0</v>
      </c>
      <c r="AH28" s="214">
        <f t="shared" si="26"/>
        <v>0</v>
      </c>
      <c r="AI28" s="98"/>
      <c r="AJ28" s="98">
        <f t="shared" si="8"/>
        <v>0</v>
      </c>
      <c r="AK28" s="214">
        <f t="shared" si="27"/>
        <v>0</v>
      </c>
      <c r="AL28" s="98"/>
      <c r="AM28" s="98">
        <f t="shared" si="9"/>
        <v>0</v>
      </c>
      <c r="AN28" s="214">
        <f t="shared" si="28"/>
        <v>0</v>
      </c>
      <c r="AO28" s="98"/>
      <c r="AP28" s="98">
        <f t="shared" si="10"/>
        <v>0</v>
      </c>
      <c r="AQ28" s="214">
        <f t="shared" si="29"/>
        <v>0</v>
      </c>
      <c r="AR28" s="98"/>
      <c r="AS28" s="98">
        <f t="shared" si="11"/>
        <v>0</v>
      </c>
      <c r="AT28" s="214">
        <f t="shared" si="30"/>
        <v>0</v>
      </c>
      <c r="AU28" s="98"/>
      <c r="AV28" s="215">
        <f t="shared" si="12"/>
        <v>0</v>
      </c>
      <c r="AW28" s="214">
        <f t="shared" si="31"/>
        <v>0</v>
      </c>
      <c r="AX28" s="98">
        <f t="shared" si="32"/>
        <v>0</v>
      </c>
      <c r="AY28" s="204">
        <f t="shared" si="13"/>
        <v>0</v>
      </c>
      <c r="AZ28" s="214">
        <f t="shared" si="33"/>
        <v>100</v>
      </c>
      <c r="BA28" s="98">
        <f t="shared" si="34"/>
        <v>9</v>
      </c>
      <c r="BB28" s="204">
        <f t="shared" si="14"/>
        <v>68.040000000000006</v>
      </c>
    </row>
    <row r="29" spans="1:54" s="218" customFormat="1" x14ac:dyDescent="0.2">
      <c r="A29" s="324" t="s">
        <v>917</v>
      </c>
      <c r="B29" s="28" t="s">
        <v>918</v>
      </c>
      <c r="C29" s="28" t="s">
        <v>919</v>
      </c>
      <c r="D29" s="58" t="s">
        <v>920</v>
      </c>
      <c r="E29" s="28" t="s">
        <v>110</v>
      </c>
      <c r="F29" s="410">
        <v>10.09</v>
      </c>
      <c r="G29" s="325">
        <v>6</v>
      </c>
      <c r="H29" s="325">
        <f t="shared" si="15"/>
        <v>6</v>
      </c>
      <c r="I29" s="37">
        <f t="shared" si="17"/>
        <v>0</v>
      </c>
      <c r="J29" s="37">
        <f t="shared" si="0"/>
        <v>12.69</v>
      </c>
      <c r="K29" s="38">
        <f t="shared" si="16"/>
        <v>76.14</v>
      </c>
      <c r="L29" s="244">
        <f t="shared" si="18"/>
        <v>0</v>
      </c>
      <c r="M29" s="213">
        <f t="shared" si="19"/>
        <v>0</v>
      </c>
      <c r="N29" s="98"/>
      <c r="O29" s="98">
        <f t="shared" si="1"/>
        <v>0</v>
      </c>
      <c r="P29" s="214">
        <f t="shared" si="20"/>
        <v>0</v>
      </c>
      <c r="Q29" s="98"/>
      <c r="R29" s="98">
        <f t="shared" si="2"/>
        <v>0</v>
      </c>
      <c r="S29" s="214">
        <f t="shared" si="21"/>
        <v>0</v>
      </c>
      <c r="T29" s="98"/>
      <c r="U29" s="98">
        <f t="shared" si="3"/>
        <v>0</v>
      </c>
      <c r="V29" s="214">
        <f t="shared" si="22"/>
        <v>0</v>
      </c>
      <c r="W29" s="98"/>
      <c r="X29" s="98">
        <f t="shared" si="4"/>
        <v>0</v>
      </c>
      <c r="Y29" s="214">
        <f t="shared" si="23"/>
        <v>0</v>
      </c>
      <c r="Z29" s="98"/>
      <c r="AA29" s="98">
        <f t="shared" si="5"/>
        <v>0</v>
      </c>
      <c r="AB29" s="214">
        <f t="shared" si="24"/>
        <v>0</v>
      </c>
      <c r="AC29" s="98"/>
      <c r="AD29" s="98">
        <f t="shared" si="6"/>
        <v>0</v>
      </c>
      <c r="AE29" s="214">
        <f t="shared" si="25"/>
        <v>0</v>
      </c>
      <c r="AF29" s="98"/>
      <c r="AG29" s="98">
        <f t="shared" si="7"/>
        <v>0</v>
      </c>
      <c r="AH29" s="214">
        <f t="shared" si="26"/>
        <v>0</v>
      </c>
      <c r="AI29" s="98"/>
      <c r="AJ29" s="98">
        <f t="shared" si="8"/>
        <v>0</v>
      </c>
      <c r="AK29" s="214">
        <f t="shared" si="27"/>
        <v>0</v>
      </c>
      <c r="AL29" s="98"/>
      <c r="AM29" s="98">
        <f t="shared" si="9"/>
        <v>0</v>
      </c>
      <c r="AN29" s="214">
        <f t="shared" si="28"/>
        <v>0</v>
      </c>
      <c r="AO29" s="98"/>
      <c r="AP29" s="98">
        <f t="shared" si="10"/>
        <v>0</v>
      </c>
      <c r="AQ29" s="214">
        <f t="shared" si="29"/>
        <v>0</v>
      </c>
      <c r="AR29" s="98"/>
      <c r="AS29" s="98">
        <f t="shared" si="11"/>
        <v>0</v>
      </c>
      <c r="AT29" s="214">
        <f t="shared" si="30"/>
        <v>0</v>
      </c>
      <c r="AU29" s="98"/>
      <c r="AV29" s="215">
        <f t="shared" si="12"/>
        <v>0</v>
      </c>
      <c r="AW29" s="214">
        <f t="shared" si="31"/>
        <v>0</v>
      </c>
      <c r="AX29" s="98">
        <f t="shared" si="32"/>
        <v>0</v>
      </c>
      <c r="AY29" s="204">
        <f t="shared" si="13"/>
        <v>0</v>
      </c>
      <c r="AZ29" s="214">
        <f t="shared" si="33"/>
        <v>100</v>
      </c>
      <c r="BA29" s="98">
        <f t="shared" si="34"/>
        <v>6</v>
      </c>
      <c r="BB29" s="204">
        <f t="shared" si="14"/>
        <v>76.14</v>
      </c>
    </row>
    <row r="30" spans="1:54" s="218" customFormat="1" ht="28.5" x14ac:dyDescent="0.2">
      <c r="A30" s="324" t="s">
        <v>921</v>
      </c>
      <c r="B30" s="87" t="s">
        <v>104</v>
      </c>
      <c r="C30" s="87" t="s">
        <v>104</v>
      </c>
      <c r="D30" s="92" t="s">
        <v>922</v>
      </c>
      <c r="E30" s="28" t="s">
        <v>904</v>
      </c>
      <c r="F30" s="358">
        <f>1.25*3.5</f>
        <v>4.375</v>
      </c>
      <c r="G30" s="325">
        <v>2</v>
      </c>
      <c r="H30" s="325">
        <f t="shared" si="15"/>
        <v>2</v>
      </c>
      <c r="I30" s="37">
        <f t="shared" si="17"/>
        <v>0</v>
      </c>
      <c r="J30" s="37">
        <f t="shared" si="0"/>
        <v>5.5</v>
      </c>
      <c r="K30" s="38">
        <f t="shared" si="16"/>
        <v>11</v>
      </c>
      <c r="L30" s="244">
        <f t="shared" si="18"/>
        <v>0</v>
      </c>
      <c r="M30" s="213">
        <f t="shared" si="19"/>
        <v>0</v>
      </c>
      <c r="N30" s="98"/>
      <c r="O30" s="98">
        <f t="shared" si="1"/>
        <v>0</v>
      </c>
      <c r="P30" s="214">
        <f t="shared" si="20"/>
        <v>0</v>
      </c>
      <c r="Q30" s="98"/>
      <c r="R30" s="98">
        <f t="shared" si="2"/>
        <v>0</v>
      </c>
      <c r="S30" s="214">
        <f t="shared" si="21"/>
        <v>0</v>
      </c>
      <c r="T30" s="98"/>
      <c r="U30" s="98">
        <f t="shared" si="3"/>
        <v>0</v>
      </c>
      <c r="V30" s="214">
        <f t="shared" si="22"/>
        <v>0</v>
      </c>
      <c r="W30" s="98"/>
      <c r="X30" s="98">
        <f t="shared" si="4"/>
        <v>0</v>
      </c>
      <c r="Y30" s="214">
        <f t="shared" si="23"/>
        <v>0</v>
      </c>
      <c r="Z30" s="98"/>
      <c r="AA30" s="98">
        <f t="shared" si="5"/>
        <v>0</v>
      </c>
      <c r="AB30" s="214">
        <f t="shared" si="24"/>
        <v>0</v>
      </c>
      <c r="AC30" s="98"/>
      <c r="AD30" s="98">
        <f t="shared" si="6"/>
        <v>0</v>
      </c>
      <c r="AE30" s="214">
        <f t="shared" si="25"/>
        <v>0</v>
      </c>
      <c r="AF30" s="98"/>
      <c r="AG30" s="98">
        <f t="shared" si="7"/>
        <v>0</v>
      </c>
      <c r="AH30" s="214">
        <f t="shared" si="26"/>
        <v>0</v>
      </c>
      <c r="AI30" s="98"/>
      <c r="AJ30" s="98">
        <f t="shared" si="8"/>
        <v>0</v>
      </c>
      <c r="AK30" s="214">
        <f t="shared" si="27"/>
        <v>0</v>
      </c>
      <c r="AL30" s="98"/>
      <c r="AM30" s="98">
        <f t="shared" si="9"/>
        <v>0</v>
      </c>
      <c r="AN30" s="214">
        <f t="shared" si="28"/>
        <v>0</v>
      </c>
      <c r="AO30" s="98"/>
      <c r="AP30" s="98">
        <f t="shared" si="10"/>
        <v>0</v>
      </c>
      <c r="AQ30" s="214">
        <f t="shared" si="29"/>
        <v>0</v>
      </c>
      <c r="AR30" s="98"/>
      <c r="AS30" s="98">
        <f t="shared" si="11"/>
        <v>0</v>
      </c>
      <c r="AT30" s="214">
        <f t="shared" si="30"/>
        <v>0</v>
      </c>
      <c r="AU30" s="98"/>
      <c r="AV30" s="215">
        <f t="shared" si="12"/>
        <v>0</v>
      </c>
      <c r="AW30" s="214">
        <f t="shared" si="31"/>
        <v>0</v>
      </c>
      <c r="AX30" s="98">
        <f t="shared" si="32"/>
        <v>0</v>
      </c>
      <c r="AY30" s="204">
        <f t="shared" si="13"/>
        <v>0</v>
      </c>
      <c r="AZ30" s="214">
        <f t="shared" si="33"/>
        <v>100</v>
      </c>
      <c r="BA30" s="98">
        <f t="shared" si="34"/>
        <v>2</v>
      </c>
      <c r="BB30" s="204">
        <f t="shared" si="14"/>
        <v>11</v>
      </c>
    </row>
    <row r="31" spans="1:54" s="218" customFormat="1" x14ac:dyDescent="0.2">
      <c r="A31" s="324" t="s">
        <v>923</v>
      </c>
      <c r="B31" s="28" t="s">
        <v>924</v>
      </c>
      <c r="C31" s="28" t="s">
        <v>925</v>
      </c>
      <c r="D31" s="58" t="s">
        <v>926</v>
      </c>
      <c r="E31" s="28" t="s">
        <v>110</v>
      </c>
      <c r="F31" s="410">
        <v>11.2</v>
      </c>
      <c r="G31" s="325">
        <v>54</v>
      </c>
      <c r="H31" s="325">
        <f t="shared" si="15"/>
        <v>54</v>
      </c>
      <c r="I31" s="37">
        <f t="shared" si="17"/>
        <v>0</v>
      </c>
      <c r="J31" s="37">
        <f t="shared" si="0"/>
        <v>14.09</v>
      </c>
      <c r="K31" s="38">
        <f>TRUNC(J31*G31,2)</f>
        <v>760.86</v>
      </c>
      <c r="L31" s="244">
        <f t="shared" si="18"/>
        <v>0</v>
      </c>
      <c r="M31" s="213">
        <f t="shared" si="19"/>
        <v>0</v>
      </c>
      <c r="N31" s="98"/>
      <c r="O31" s="98">
        <f t="shared" si="1"/>
        <v>0</v>
      </c>
      <c r="P31" s="214">
        <f t="shared" si="20"/>
        <v>0</v>
      </c>
      <c r="Q31" s="98"/>
      <c r="R31" s="98">
        <f t="shared" si="2"/>
        <v>0</v>
      </c>
      <c r="S31" s="214">
        <f t="shared" si="21"/>
        <v>0</v>
      </c>
      <c r="T31" s="98"/>
      <c r="U31" s="98">
        <f t="shared" si="3"/>
        <v>0</v>
      </c>
      <c r="V31" s="214">
        <f t="shared" si="22"/>
        <v>0</v>
      </c>
      <c r="W31" s="98"/>
      <c r="X31" s="98">
        <f t="shared" si="4"/>
        <v>0</v>
      </c>
      <c r="Y31" s="214">
        <f t="shared" si="23"/>
        <v>0</v>
      </c>
      <c r="Z31" s="98"/>
      <c r="AA31" s="98">
        <f t="shared" si="5"/>
        <v>0</v>
      </c>
      <c r="AB31" s="214">
        <f t="shared" si="24"/>
        <v>0</v>
      </c>
      <c r="AC31" s="98"/>
      <c r="AD31" s="98">
        <f t="shared" si="6"/>
        <v>0</v>
      </c>
      <c r="AE31" s="214">
        <f t="shared" si="25"/>
        <v>0</v>
      </c>
      <c r="AF31" s="98"/>
      <c r="AG31" s="98">
        <f t="shared" si="7"/>
        <v>0</v>
      </c>
      <c r="AH31" s="214">
        <f t="shared" si="26"/>
        <v>0</v>
      </c>
      <c r="AI31" s="98"/>
      <c r="AJ31" s="98">
        <f t="shared" si="8"/>
        <v>0</v>
      </c>
      <c r="AK31" s="214">
        <f t="shared" si="27"/>
        <v>0</v>
      </c>
      <c r="AL31" s="98"/>
      <c r="AM31" s="98">
        <f t="shared" si="9"/>
        <v>0</v>
      </c>
      <c r="AN31" s="214">
        <f t="shared" si="28"/>
        <v>0</v>
      </c>
      <c r="AO31" s="98"/>
      <c r="AP31" s="98">
        <f t="shared" si="10"/>
        <v>0</v>
      </c>
      <c r="AQ31" s="214">
        <f t="shared" si="29"/>
        <v>0</v>
      </c>
      <c r="AR31" s="98"/>
      <c r="AS31" s="98">
        <f t="shared" si="11"/>
        <v>0</v>
      </c>
      <c r="AT31" s="214">
        <f t="shared" si="30"/>
        <v>0</v>
      </c>
      <c r="AU31" s="98"/>
      <c r="AV31" s="215">
        <f t="shared" si="12"/>
        <v>0</v>
      </c>
      <c r="AW31" s="214">
        <f t="shared" si="31"/>
        <v>0</v>
      </c>
      <c r="AX31" s="98">
        <f t="shared" si="32"/>
        <v>0</v>
      </c>
      <c r="AY31" s="204">
        <f t="shared" si="13"/>
        <v>0</v>
      </c>
      <c r="AZ31" s="214">
        <f t="shared" si="33"/>
        <v>100</v>
      </c>
      <c r="BA31" s="98">
        <f t="shared" si="34"/>
        <v>54</v>
      </c>
      <c r="BB31" s="204">
        <f t="shared" si="14"/>
        <v>760.86</v>
      </c>
    </row>
    <row r="32" spans="1:54" s="218" customFormat="1" ht="28.5" x14ac:dyDescent="0.2">
      <c r="A32" s="324" t="s">
        <v>927</v>
      </c>
      <c r="B32" s="87" t="s">
        <v>104</v>
      </c>
      <c r="C32" s="87" t="s">
        <v>104</v>
      </c>
      <c r="D32" s="92" t="s">
        <v>928</v>
      </c>
      <c r="E32" s="28" t="s">
        <v>904</v>
      </c>
      <c r="F32" s="358">
        <f>1.25*8.59</f>
        <v>10.737500000000001</v>
      </c>
      <c r="G32" s="325">
        <v>54</v>
      </c>
      <c r="H32" s="325">
        <f t="shared" si="15"/>
        <v>54</v>
      </c>
      <c r="I32" s="37">
        <f t="shared" si="17"/>
        <v>0</v>
      </c>
      <c r="J32" s="37">
        <f t="shared" si="0"/>
        <v>13.51</v>
      </c>
      <c r="K32" s="38">
        <f t="shared" si="16"/>
        <v>729.54</v>
      </c>
      <c r="L32" s="244">
        <f t="shared" si="18"/>
        <v>0</v>
      </c>
      <c r="M32" s="213">
        <f t="shared" si="19"/>
        <v>0</v>
      </c>
      <c r="N32" s="98"/>
      <c r="O32" s="98">
        <f t="shared" si="1"/>
        <v>0</v>
      </c>
      <c r="P32" s="214">
        <f t="shared" si="20"/>
        <v>0</v>
      </c>
      <c r="Q32" s="98"/>
      <c r="R32" s="98">
        <f t="shared" si="2"/>
        <v>0</v>
      </c>
      <c r="S32" s="214">
        <f t="shared" si="21"/>
        <v>0</v>
      </c>
      <c r="T32" s="98"/>
      <c r="U32" s="98">
        <f t="shared" si="3"/>
        <v>0</v>
      </c>
      <c r="V32" s="214">
        <f t="shared" si="22"/>
        <v>0</v>
      </c>
      <c r="W32" s="98"/>
      <c r="X32" s="98">
        <f t="shared" si="4"/>
        <v>0</v>
      </c>
      <c r="Y32" s="214">
        <f t="shared" si="23"/>
        <v>0</v>
      </c>
      <c r="Z32" s="98"/>
      <c r="AA32" s="98">
        <f t="shared" si="5"/>
        <v>0</v>
      </c>
      <c r="AB32" s="214">
        <f t="shared" si="24"/>
        <v>0</v>
      </c>
      <c r="AC32" s="98"/>
      <c r="AD32" s="98">
        <f t="shared" si="6"/>
        <v>0</v>
      </c>
      <c r="AE32" s="214">
        <f t="shared" si="25"/>
        <v>0</v>
      </c>
      <c r="AF32" s="98"/>
      <c r="AG32" s="98">
        <f t="shared" si="7"/>
        <v>0</v>
      </c>
      <c r="AH32" s="214">
        <f t="shared" si="26"/>
        <v>0</v>
      </c>
      <c r="AI32" s="98"/>
      <c r="AJ32" s="98">
        <f t="shared" si="8"/>
        <v>0</v>
      </c>
      <c r="AK32" s="214">
        <f t="shared" si="27"/>
        <v>0</v>
      </c>
      <c r="AL32" s="98"/>
      <c r="AM32" s="98">
        <f t="shared" si="9"/>
        <v>0</v>
      </c>
      <c r="AN32" s="214">
        <f t="shared" si="28"/>
        <v>0</v>
      </c>
      <c r="AO32" s="98"/>
      <c r="AP32" s="98">
        <f t="shared" si="10"/>
        <v>0</v>
      </c>
      <c r="AQ32" s="214">
        <f t="shared" si="29"/>
        <v>0</v>
      </c>
      <c r="AR32" s="98"/>
      <c r="AS32" s="98">
        <f t="shared" si="11"/>
        <v>0</v>
      </c>
      <c r="AT32" s="214">
        <f t="shared" si="30"/>
        <v>0</v>
      </c>
      <c r="AU32" s="98"/>
      <c r="AV32" s="215">
        <f t="shared" si="12"/>
        <v>0</v>
      </c>
      <c r="AW32" s="214">
        <f t="shared" si="31"/>
        <v>0</v>
      </c>
      <c r="AX32" s="98">
        <f t="shared" si="32"/>
        <v>0</v>
      </c>
      <c r="AY32" s="204">
        <f t="shared" si="13"/>
        <v>0</v>
      </c>
      <c r="AZ32" s="214">
        <f t="shared" si="33"/>
        <v>100</v>
      </c>
      <c r="BA32" s="98">
        <f t="shared" si="34"/>
        <v>54</v>
      </c>
      <c r="BB32" s="204">
        <f t="shared" si="14"/>
        <v>729.54</v>
      </c>
    </row>
    <row r="33" spans="1:54" s="218" customFormat="1" x14ac:dyDescent="0.2">
      <c r="A33" s="324" t="s">
        <v>929</v>
      </c>
      <c r="B33" s="28" t="s">
        <v>930</v>
      </c>
      <c r="C33" s="28" t="s">
        <v>931</v>
      </c>
      <c r="D33" s="58" t="s">
        <v>932</v>
      </c>
      <c r="E33" s="28" t="s">
        <v>110</v>
      </c>
      <c r="F33" s="410">
        <v>9.2100000000000009</v>
      </c>
      <c r="G33" s="325">
        <v>28</v>
      </c>
      <c r="H33" s="325">
        <f t="shared" si="15"/>
        <v>28</v>
      </c>
      <c r="I33" s="37">
        <f>H33-G33</f>
        <v>0</v>
      </c>
      <c r="J33" s="37">
        <f t="shared" si="0"/>
        <v>11.59</v>
      </c>
      <c r="K33" s="38">
        <f>TRUNC(J33*G33,2)</f>
        <v>324.52</v>
      </c>
      <c r="L33" s="244">
        <f>TRUNC(J33*I33,2)</f>
        <v>0</v>
      </c>
      <c r="M33" s="213">
        <f>N33/$H33*100</f>
        <v>0</v>
      </c>
      <c r="N33" s="98"/>
      <c r="O33" s="98">
        <f t="shared" si="1"/>
        <v>0</v>
      </c>
      <c r="P33" s="214">
        <f>Q33/$H33*100</f>
        <v>0</v>
      </c>
      <c r="Q33" s="98"/>
      <c r="R33" s="98">
        <f t="shared" si="2"/>
        <v>0</v>
      </c>
      <c r="S33" s="214">
        <f>T33/$H33*100</f>
        <v>0</v>
      </c>
      <c r="T33" s="98"/>
      <c r="U33" s="98">
        <f t="shared" si="3"/>
        <v>0</v>
      </c>
      <c r="V33" s="214">
        <f>W33/$H33*100</f>
        <v>0</v>
      </c>
      <c r="W33" s="98"/>
      <c r="X33" s="98">
        <f t="shared" si="4"/>
        <v>0</v>
      </c>
      <c r="Y33" s="214">
        <f>Z33/$H33*100</f>
        <v>0</v>
      </c>
      <c r="Z33" s="98"/>
      <c r="AA33" s="98">
        <f t="shared" si="5"/>
        <v>0</v>
      </c>
      <c r="AB33" s="214">
        <f>AC33/$H33*100</f>
        <v>0</v>
      </c>
      <c r="AC33" s="98"/>
      <c r="AD33" s="98">
        <f t="shared" si="6"/>
        <v>0</v>
      </c>
      <c r="AE33" s="214">
        <f>AF33/$H33*100</f>
        <v>0</v>
      </c>
      <c r="AF33" s="98"/>
      <c r="AG33" s="98">
        <f t="shared" si="7"/>
        <v>0</v>
      </c>
      <c r="AH33" s="214">
        <f>AI33/$H33*100</f>
        <v>0</v>
      </c>
      <c r="AI33" s="98"/>
      <c r="AJ33" s="98">
        <f t="shared" si="8"/>
        <v>0</v>
      </c>
      <c r="AK33" s="214">
        <f>AL33/$H33*100</f>
        <v>0</v>
      </c>
      <c r="AL33" s="98"/>
      <c r="AM33" s="98">
        <f t="shared" si="9"/>
        <v>0</v>
      </c>
      <c r="AN33" s="214">
        <f>AO33/$H33*100</f>
        <v>0</v>
      </c>
      <c r="AO33" s="98"/>
      <c r="AP33" s="98">
        <f t="shared" si="10"/>
        <v>0</v>
      </c>
      <c r="AQ33" s="214">
        <f>AR33/$H33*100</f>
        <v>0</v>
      </c>
      <c r="AR33" s="98"/>
      <c r="AS33" s="98">
        <f t="shared" si="11"/>
        <v>0</v>
      </c>
      <c r="AT33" s="214">
        <f>AU33/$H33*100</f>
        <v>0</v>
      </c>
      <c r="AU33" s="98"/>
      <c r="AV33" s="215">
        <f t="shared" si="12"/>
        <v>0</v>
      </c>
      <c r="AW33" s="214">
        <f>AX33/$H33*100</f>
        <v>0</v>
      </c>
      <c r="AX33" s="98">
        <f>Q33+N33+T33+W33+Z33+AC33+AF33+AI33+AL33+AO33+AR33+AU33</f>
        <v>0</v>
      </c>
      <c r="AY33" s="204">
        <f t="shared" si="13"/>
        <v>0</v>
      </c>
      <c r="AZ33" s="214">
        <f>BA33/$H33*100</f>
        <v>100</v>
      </c>
      <c r="BA33" s="98">
        <f>H33-AX33</f>
        <v>28</v>
      </c>
      <c r="BB33" s="204">
        <f t="shared" si="14"/>
        <v>324.52</v>
      </c>
    </row>
    <row r="34" spans="1:54" s="218" customFormat="1" ht="42.75" x14ac:dyDescent="0.2">
      <c r="A34" s="324" t="s">
        <v>933</v>
      </c>
      <c r="B34" s="87" t="s">
        <v>104</v>
      </c>
      <c r="C34" s="87" t="s">
        <v>104</v>
      </c>
      <c r="D34" s="92" t="s">
        <v>934</v>
      </c>
      <c r="E34" s="28" t="s">
        <v>904</v>
      </c>
      <c r="F34" s="358">
        <f>1.25*69.01</f>
        <v>86.262500000000003</v>
      </c>
      <c r="G34" s="325">
        <v>28</v>
      </c>
      <c r="H34" s="325">
        <f t="shared" si="15"/>
        <v>28</v>
      </c>
      <c r="I34" s="37">
        <f t="shared" si="17"/>
        <v>0</v>
      </c>
      <c r="J34" s="37">
        <f t="shared" si="0"/>
        <v>108.53</v>
      </c>
      <c r="K34" s="38">
        <f t="shared" si="16"/>
        <v>3038.84</v>
      </c>
      <c r="L34" s="244">
        <f t="shared" si="18"/>
        <v>0</v>
      </c>
      <c r="M34" s="213">
        <f t="shared" si="19"/>
        <v>0</v>
      </c>
      <c r="N34" s="98"/>
      <c r="O34" s="98">
        <f t="shared" si="1"/>
        <v>0</v>
      </c>
      <c r="P34" s="214">
        <f t="shared" si="20"/>
        <v>0</v>
      </c>
      <c r="Q34" s="98"/>
      <c r="R34" s="98">
        <f t="shared" si="2"/>
        <v>0</v>
      </c>
      <c r="S34" s="214">
        <f t="shared" si="21"/>
        <v>0</v>
      </c>
      <c r="T34" s="98"/>
      <c r="U34" s="98">
        <f t="shared" si="3"/>
        <v>0</v>
      </c>
      <c r="V34" s="214">
        <f t="shared" si="22"/>
        <v>0</v>
      </c>
      <c r="W34" s="98"/>
      <c r="X34" s="98">
        <f t="shared" si="4"/>
        <v>0</v>
      </c>
      <c r="Y34" s="214">
        <f t="shared" si="23"/>
        <v>0</v>
      </c>
      <c r="Z34" s="98"/>
      <c r="AA34" s="98">
        <f t="shared" si="5"/>
        <v>0</v>
      </c>
      <c r="AB34" s="214">
        <f t="shared" si="24"/>
        <v>0</v>
      </c>
      <c r="AC34" s="98"/>
      <c r="AD34" s="98">
        <f t="shared" si="6"/>
        <v>0</v>
      </c>
      <c r="AE34" s="214">
        <f t="shared" si="25"/>
        <v>0</v>
      </c>
      <c r="AF34" s="98"/>
      <c r="AG34" s="98">
        <f t="shared" si="7"/>
        <v>0</v>
      </c>
      <c r="AH34" s="214">
        <f t="shared" si="26"/>
        <v>0</v>
      </c>
      <c r="AI34" s="98"/>
      <c r="AJ34" s="98">
        <f t="shared" si="8"/>
        <v>0</v>
      </c>
      <c r="AK34" s="214">
        <f t="shared" si="27"/>
        <v>0</v>
      </c>
      <c r="AL34" s="98"/>
      <c r="AM34" s="98">
        <f t="shared" si="9"/>
        <v>0</v>
      </c>
      <c r="AN34" s="214">
        <f t="shared" si="28"/>
        <v>0</v>
      </c>
      <c r="AO34" s="98"/>
      <c r="AP34" s="98">
        <f t="shared" si="10"/>
        <v>0</v>
      </c>
      <c r="AQ34" s="214">
        <f t="shared" si="29"/>
        <v>0</v>
      </c>
      <c r="AR34" s="98"/>
      <c r="AS34" s="98">
        <f t="shared" si="11"/>
        <v>0</v>
      </c>
      <c r="AT34" s="214">
        <f t="shared" si="30"/>
        <v>0</v>
      </c>
      <c r="AU34" s="98"/>
      <c r="AV34" s="215">
        <f t="shared" si="12"/>
        <v>0</v>
      </c>
      <c r="AW34" s="214">
        <f t="shared" si="31"/>
        <v>0</v>
      </c>
      <c r="AX34" s="98">
        <f t="shared" si="32"/>
        <v>0</v>
      </c>
      <c r="AY34" s="204">
        <f t="shared" si="13"/>
        <v>0</v>
      </c>
      <c r="AZ34" s="214">
        <f t="shared" si="33"/>
        <v>100</v>
      </c>
      <c r="BA34" s="98">
        <f t="shared" si="34"/>
        <v>28</v>
      </c>
      <c r="BB34" s="204">
        <f t="shared" si="14"/>
        <v>3038.84</v>
      </c>
    </row>
    <row r="35" spans="1:54" s="218" customFormat="1" ht="28.5" x14ac:dyDescent="0.2">
      <c r="A35" s="324" t="s">
        <v>935</v>
      </c>
      <c r="B35" s="87" t="s">
        <v>104</v>
      </c>
      <c r="C35" s="87" t="s">
        <v>104</v>
      </c>
      <c r="D35" s="92" t="s">
        <v>936</v>
      </c>
      <c r="E35" s="28" t="s">
        <v>904</v>
      </c>
      <c r="F35" s="358">
        <f>1.25*145.51</f>
        <v>181.88749999999999</v>
      </c>
      <c r="G35" s="325">
        <v>19</v>
      </c>
      <c r="H35" s="325">
        <f t="shared" si="15"/>
        <v>19</v>
      </c>
      <c r="I35" s="37">
        <f t="shared" si="17"/>
        <v>0</v>
      </c>
      <c r="J35" s="37">
        <f t="shared" si="0"/>
        <v>228.83</v>
      </c>
      <c r="K35" s="38">
        <f t="shared" si="16"/>
        <v>4347.7700000000004</v>
      </c>
      <c r="L35" s="244">
        <f t="shared" si="18"/>
        <v>0</v>
      </c>
      <c r="M35" s="213">
        <f t="shared" si="19"/>
        <v>0</v>
      </c>
      <c r="N35" s="98"/>
      <c r="O35" s="98">
        <f t="shared" si="1"/>
        <v>0</v>
      </c>
      <c r="P35" s="214">
        <f t="shared" si="20"/>
        <v>0</v>
      </c>
      <c r="Q35" s="98"/>
      <c r="R35" s="98">
        <f t="shared" si="2"/>
        <v>0</v>
      </c>
      <c r="S35" s="214">
        <f t="shared" si="21"/>
        <v>0</v>
      </c>
      <c r="T35" s="98"/>
      <c r="U35" s="98">
        <f t="shared" si="3"/>
        <v>0</v>
      </c>
      <c r="V35" s="214">
        <f t="shared" si="22"/>
        <v>0</v>
      </c>
      <c r="W35" s="98"/>
      <c r="X35" s="98">
        <f t="shared" si="4"/>
        <v>0</v>
      </c>
      <c r="Y35" s="214">
        <f t="shared" si="23"/>
        <v>0</v>
      </c>
      <c r="Z35" s="98"/>
      <c r="AA35" s="98">
        <f t="shared" si="5"/>
        <v>0</v>
      </c>
      <c r="AB35" s="214">
        <f t="shared" si="24"/>
        <v>0</v>
      </c>
      <c r="AC35" s="98"/>
      <c r="AD35" s="98">
        <f t="shared" si="6"/>
        <v>0</v>
      </c>
      <c r="AE35" s="214">
        <f t="shared" si="25"/>
        <v>0</v>
      </c>
      <c r="AF35" s="98"/>
      <c r="AG35" s="98">
        <f t="shared" si="7"/>
        <v>0</v>
      </c>
      <c r="AH35" s="214">
        <f t="shared" si="26"/>
        <v>0</v>
      </c>
      <c r="AI35" s="98"/>
      <c r="AJ35" s="98">
        <f t="shared" si="8"/>
        <v>0</v>
      </c>
      <c r="AK35" s="214">
        <f t="shared" si="27"/>
        <v>0</v>
      </c>
      <c r="AL35" s="98"/>
      <c r="AM35" s="98">
        <f t="shared" si="9"/>
        <v>0</v>
      </c>
      <c r="AN35" s="214">
        <f t="shared" si="28"/>
        <v>0</v>
      </c>
      <c r="AO35" s="98"/>
      <c r="AP35" s="98">
        <f t="shared" si="10"/>
        <v>0</v>
      </c>
      <c r="AQ35" s="214">
        <f t="shared" si="29"/>
        <v>0</v>
      </c>
      <c r="AR35" s="98"/>
      <c r="AS35" s="98">
        <f t="shared" si="11"/>
        <v>0</v>
      </c>
      <c r="AT35" s="214">
        <f t="shared" si="30"/>
        <v>0</v>
      </c>
      <c r="AU35" s="98"/>
      <c r="AV35" s="215">
        <f t="shared" si="12"/>
        <v>0</v>
      </c>
      <c r="AW35" s="214">
        <f t="shared" si="31"/>
        <v>0</v>
      </c>
      <c r="AX35" s="98">
        <f t="shared" si="32"/>
        <v>0</v>
      </c>
      <c r="AY35" s="204">
        <f t="shared" si="13"/>
        <v>0</v>
      </c>
      <c r="AZ35" s="214">
        <f t="shared" si="33"/>
        <v>100</v>
      </c>
      <c r="BA35" s="98">
        <f t="shared" si="34"/>
        <v>19</v>
      </c>
      <c r="BB35" s="204">
        <f t="shared" si="14"/>
        <v>4347.7700000000004</v>
      </c>
    </row>
    <row r="36" spans="1:54" s="218" customFormat="1" x14ac:dyDescent="0.2">
      <c r="A36" s="324" t="s">
        <v>937</v>
      </c>
      <c r="B36" s="28" t="s">
        <v>938</v>
      </c>
      <c r="C36" s="28" t="s">
        <v>939</v>
      </c>
      <c r="D36" s="58" t="s">
        <v>940</v>
      </c>
      <c r="E36" s="28" t="s">
        <v>110</v>
      </c>
      <c r="F36" s="410">
        <v>62.24</v>
      </c>
      <c r="G36" s="325">
        <v>4</v>
      </c>
      <c r="H36" s="325">
        <f t="shared" si="15"/>
        <v>4</v>
      </c>
      <c r="I36" s="37">
        <f t="shared" si="17"/>
        <v>0</v>
      </c>
      <c r="J36" s="37">
        <f t="shared" ref="J36:J55" si="35">ROUND((F36*(1+$K$8))*(1+$G$8),2)</f>
        <v>78.3</v>
      </c>
      <c r="K36" s="38">
        <f t="shared" si="16"/>
        <v>313.2</v>
      </c>
      <c r="L36" s="244">
        <f t="shared" si="18"/>
        <v>0</v>
      </c>
      <c r="M36" s="213">
        <f t="shared" si="19"/>
        <v>0</v>
      </c>
      <c r="N36" s="98"/>
      <c r="O36" s="98">
        <f t="shared" si="1"/>
        <v>0</v>
      </c>
      <c r="P36" s="214">
        <f t="shared" si="20"/>
        <v>0</v>
      </c>
      <c r="Q36" s="98"/>
      <c r="R36" s="98">
        <f t="shared" si="2"/>
        <v>0</v>
      </c>
      <c r="S36" s="214">
        <f t="shared" si="21"/>
        <v>0</v>
      </c>
      <c r="T36" s="98"/>
      <c r="U36" s="98">
        <f t="shared" si="3"/>
        <v>0</v>
      </c>
      <c r="V36" s="214">
        <f t="shared" si="22"/>
        <v>0</v>
      </c>
      <c r="W36" s="98"/>
      <c r="X36" s="98">
        <f t="shared" si="4"/>
        <v>0</v>
      </c>
      <c r="Y36" s="214">
        <f t="shared" si="23"/>
        <v>0</v>
      </c>
      <c r="Z36" s="98"/>
      <c r="AA36" s="98">
        <f t="shared" si="5"/>
        <v>0</v>
      </c>
      <c r="AB36" s="214">
        <f t="shared" si="24"/>
        <v>0</v>
      </c>
      <c r="AC36" s="98"/>
      <c r="AD36" s="98">
        <f t="shared" si="6"/>
        <v>0</v>
      </c>
      <c r="AE36" s="214">
        <f t="shared" si="25"/>
        <v>0</v>
      </c>
      <c r="AF36" s="98"/>
      <c r="AG36" s="98">
        <f t="shared" si="7"/>
        <v>0</v>
      </c>
      <c r="AH36" s="214">
        <f t="shared" si="26"/>
        <v>0</v>
      </c>
      <c r="AI36" s="98"/>
      <c r="AJ36" s="98">
        <f t="shared" si="8"/>
        <v>0</v>
      </c>
      <c r="AK36" s="214">
        <f t="shared" si="27"/>
        <v>0</v>
      </c>
      <c r="AL36" s="98"/>
      <c r="AM36" s="98">
        <f t="shared" si="9"/>
        <v>0</v>
      </c>
      <c r="AN36" s="214">
        <f t="shared" si="28"/>
        <v>0</v>
      </c>
      <c r="AO36" s="98"/>
      <c r="AP36" s="98">
        <f t="shared" si="10"/>
        <v>0</v>
      </c>
      <c r="AQ36" s="214">
        <f t="shared" si="29"/>
        <v>0</v>
      </c>
      <c r="AR36" s="98"/>
      <c r="AS36" s="98">
        <f t="shared" si="11"/>
        <v>0</v>
      </c>
      <c r="AT36" s="214">
        <f t="shared" si="30"/>
        <v>0</v>
      </c>
      <c r="AU36" s="98"/>
      <c r="AV36" s="215">
        <f t="shared" si="12"/>
        <v>0</v>
      </c>
      <c r="AW36" s="214">
        <f t="shared" si="31"/>
        <v>0</v>
      </c>
      <c r="AX36" s="98">
        <f t="shared" si="32"/>
        <v>0</v>
      </c>
      <c r="AY36" s="204">
        <f t="shared" si="13"/>
        <v>0</v>
      </c>
      <c r="AZ36" s="214">
        <f t="shared" si="33"/>
        <v>100</v>
      </c>
      <c r="BA36" s="98">
        <f t="shared" si="34"/>
        <v>4</v>
      </c>
      <c r="BB36" s="204">
        <f t="shared" si="14"/>
        <v>313.2</v>
      </c>
    </row>
    <row r="37" spans="1:54" s="218" customFormat="1" x14ac:dyDescent="0.2">
      <c r="A37" s="324" t="s">
        <v>941</v>
      </c>
      <c r="B37" s="28" t="s">
        <v>942</v>
      </c>
      <c r="C37" s="28" t="s">
        <v>943</v>
      </c>
      <c r="D37" s="58" t="s">
        <v>944</v>
      </c>
      <c r="E37" s="28" t="s">
        <v>110</v>
      </c>
      <c r="F37" s="410">
        <v>62.24</v>
      </c>
      <c r="G37" s="325">
        <v>99</v>
      </c>
      <c r="H37" s="325">
        <f t="shared" si="15"/>
        <v>99</v>
      </c>
      <c r="I37" s="37">
        <f t="shared" si="17"/>
        <v>0</v>
      </c>
      <c r="J37" s="37">
        <f t="shared" si="35"/>
        <v>78.3</v>
      </c>
      <c r="K37" s="38">
        <f t="shared" si="16"/>
        <v>7751.7</v>
      </c>
      <c r="L37" s="244">
        <f t="shared" si="18"/>
        <v>0</v>
      </c>
      <c r="M37" s="213">
        <f t="shared" si="19"/>
        <v>0</v>
      </c>
      <c r="N37" s="98"/>
      <c r="O37" s="98">
        <f t="shared" si="1"/>
        <v>0</v>
      </c>
      <c r="P37" s="214">
        <f t="shared" si="20"/>
        <v>0</v>
      </c>
      <c r="Q37" s="98"/>
      <c r="R37" s="98">
        <f t="shared" si="2"/>
        <v>0</v>
      </c>
      <c r="S37" s="214">
        <f t="shared" si="21"/>
        <v>0</v>
      </c>
      <c r="T37" s="98"/>
      <c r="U37" s="98">
        <f t="shared" si="3"/>
        <v>0</v>
      </c>
      <c r="V37" s="214">
        <f t="shared" si="22"/>
        <v>0</v>
      </c>
      <c r="W37" s="98"/>
      <c r="X37" s="98">
        <f t="shared" si="4"/>
        <v>0</v>
      </c>
      <c r="Y37" s="214">
        <f t="shared" si="23"/>
        <v>0</v>
      </c>
      <c r="Z37" s="98"/>
      <c r="AA37" s="98">
        <f t="shared" si="5"/>
        <v>0</v>
      </c>
      <c r="AB37" s="214">
        <f t="shared" si="24"/>
        <v>0</v>
      </c>
      <c r="AC37" s="98"/>
      <c r="AD37" s="98">
        <f t="shared" si="6"/>
        <v>0</v>
      </c>
      <c r="AE37" s="214">
        <f t="shared" si="25"/>
        <v>0</v>
      </c>
      <c r="AF37" s="98"/>
      <c r="AG37" s="98">
        <f t="shared" si="7"/>
        <v>0</v>
      </c>
      <c r="AH37" s="214">
        <f t="shared" si="26"/>
        <v>0</v>
      </c>
      <c r="AI37" s="98"/>
      <c r="AJ37" s="98">
        <f t="shared" si="8"/>
        <v>0</v>
      </c>
      <c r="AK37" s="214">
        <f t="shared" si="27"/>
        <v>0</v>
      </c>
      <c r="AL37" s="98"/>
      <c r="AM37" s="98">
        <f t="shared" si="9"/>
        <v>0</v>
      </c>
      <c r="AN37" s="214">
        <f t="shared" si="28"/>
        <v>0</v>
      </c>
      <c r="AO37" s="98"/>
      <c r="AP37" s="98">
        <f t="shared" si="10"/>
        <v>0</v>
      </c>
      <c r="AQ37" s="214">
        <f t="shared" si="29"/>
        <v>0</v>
      </c>
      <c r="AR37" s="98"/>
      <c r="AS37" s="98">
        <f t="shared" si="11"/>
        <v>0</v>
      </c>
      <c r="AT37" s="214">
        <f t="shared" si="30"/>
        <v>0</v>
      </c>
      <c r="AU37" s="98"/>
      <c r="AV37" s="215">
        <f t="shared" si="12"/>
        <v>0</v>
      </c>
      <c r="AW37" s="214">
        <f t="shared" si="31"/>
        <v>0</v>
      </c>
      <c r="AX37" s="98">
        <f t="shared" si="32"/>
        <v>0</v>
      </c>
      <c r="AY37" s="204">
        <f t="shared" si="13"/>
        <v>0</v>
      </c>
      <c r="AZ37" s="214">
        <f t="shared" si="33"/>
        <v>100</v>
      </c>
      <c r="BA37" s="98">
        <f t="shared" si="34"/>
        <v>99</v>
      </c>
      <c r="BB37" s="204">
        <f t="shared" si="14"/>
        <v>7751.7</v>
      </c>
    </row>
    <row r="38" spans="1:54" s="218" customFormat="1" x14ac:dyDescent="0.2">
      <c r="A38" s="324" t="s">
        <v>945</v>
      </c>
      <c r="B38" s="28" t="s">
        <v>946</v>
      </c>
      <c r="C38" s="28" t="s">
        <v>947</v>
      </c>
      <c r="D38" s="58" t="s">
        <v>948</v>
      </c>
      <c r="E38" s="28" t="s">
        <v>110</v>
      </c>
      <c r="F38" s="410">
        <v>10.15</v>
      </c>
      <c r="G38" s="325">
        <v>42</v>
      </c>
      <c r="H38" s="325">
        <f t="shared" si="15"/>
        <v>42</v>
      </c>
      <c r="I38" s="37">
        <f t="shared" si="17"/>
        <v>0</v>
      </c>
      <c r="J38" s="37">
        <f t="shared" si="35"/>
        <v>12.77</v>
      </c>
      <c r="K38" s="38">
        <f t="shared" si="16"/>
        <v>536.34</v>
      </c>
      <c r="L38" s="244">
        <f t="shared" si="18"/>
        <v>0</v>
      </c>
      <c r="M38" s="213">
        <f t="shared" si="19"/>
        <v>0</v>
      </c>
      <c r="N38" s="98"/>
      <c r="O38" s="98">
        <f t="shared" si="1"/>
        <v>0</v>
      </c>
      <c r="P38" s="214">
        <f t="shared" si="20"/>
        <v>0</v>
      </c>
      <c r="Q38" s="98"/>
      <c r="R38" s="98">
        <f t="shared" si="2"/>
        <v>0</v>
      </c>
      <c r="S38" s="214">
        <f t="shared" si="21"/>
        <v>0</v>
      </c>
      <c r="T38" s="98"/>
      <c r="U38" s="98">
        <f t="shared" si="3"/>
        <v>0</v>
      </c>
      <c r="V38" s="214">
        <f t="shared" si="22"/>
        <v>0</v>
      </c>
      <c r="W38" s="98"/>
      <c r="X38" s="98">
        <f t="shared" si="4"/>
        <v>0</v>
      </c>
      <c r="Y38" s="214">
        <f t="shared" si="23"/>
        <v>0</v>
      </c>
      <c r="Z38" s="98"/>
      <c r="AA38" s="98">
        <f t="shared" si="5"/>
        <v>0</v>
      </c>
      <c r="AB38" s="214">
        <f t="shared" si="24"/>
        <v>0</v>
      </c>
      <c r="AC38" s="98"/>
      <c r="AD38" s="98">
        <f t="shared" si="6"/>
        <v>0</v>
      </c>
      <c r="AE38" s="214">
        <f t="shared" si="25"/>
        <v>0</v>
      </c>
      <c r="AF38" s="98"/>
      <c r="AG38" s="98">
        <f t="shared" si="7"/>
        <v>0</v>
      </c>
      <c r="AH38" s="214">
        <f t="shared" si="26"/>
        <v>0</v>
      </c>
      <c r="AI38" s="98"/>
      <c r="AJ38" s="98">
        <f t="shared" si="8"/>
        <v>0</v>
      </c>
      <c r="AK38" s="214">
        <f t="shared" si="27"/>
        <v>0</v>
      </c>
      <c r="AL38" s="98"/>
      <c r="AM38" s="98">
        <f t="shared" si="9"/>
        <v>0</v>
      </c>
      <c r="AN38" s="214">
        <f t="shared" si="28"/>
        <v>0</v>
      </c>
      <c r="AO38" s="98"/>
      <c r="AP38" s="98">
        <f t="shared" si="10"/>
        <v>0</v>
      </c>
      <c r="AQ38" s="214">
        <f t="shared" si="29"/>
        <v>0</v>
      </c>
      <c r="AR38" s="98"/>
      <c r="AS38" s="98">
        <f t="shared" si="11"/>
        <v>0</v>
      </c>
      <c r="AT38" s="214">
        <f t="shared" si="30"/>
        <v>0</v>
      </c>
      <c r="AU38" s="98"/>
      <c r="AV38" s="215">
        <f t="shared" si="12"/>
        <v>0</v>
      </c>
      <c r="AW38" s="214">
        <f t="shared" si="31"/>
        <v>0</v>
      </c>
      <c r="AX38" s="98">
        <f t="shared" si="32"/>
        <v>0</v>
      </c>
      <c r="AY38" s="204">
        <f t="shared" si="13"/>
        <v>0</v>
      </c>
      <c r="AZ38" s="214">
        <f t="shared" si="33"/>
        <v>100</v>
      </c>
      <c r="BA38" s="98">
        <f t="shared" si="34"/>
        <v>42</v>
      </c>
      <c r="BB38" s="204">
        <f t="shared" si="14"/>
        <v>536.34</v>
      </c>
    </row>
    <row r="39" spans="1:54" s="218" customFormat="1" ht="28.5" x14ac:dyDescent="0.2">
      <c r="A39" s="324" t="s">
        <v>949</v>
      </c>
      <c r="B39" s="87" t="s">
        <v>104</v>
      </c>
      <c r="C39" s="87" t="s">
        <v>104</v>
      </c>
      <c r="D39" s="92" t="s">
        <v>950</v>
      </c>
      <c r="E39" s="28" t="s">
        <v>110</v>
      </c>
      <c r="F39" s="358">
        <f>1.25*8.68</f>
        <v>10.85</v>
      </c>
      <c r="G39" s="325">
        <v>5</v>
      </c>
      <c r="H39" s="325">
        <f t="shared" si="15"/>
        <v>5</v>
      </c>
      <c r="I39" s="37">
        <f t="shared" si="17"/>
        <v>0</v>
      </c>
      <c r="J39" s="37">
        <f t="shared" si="35"/>
        <v>13.65</v>
      </c>
      <c r="K39" s="38">
        <f t="shared" si="16"/>
        <v>68.25</v>
      </c>
      <c r="L39" s="244">
        <f t="shared" si="18"/>
        <v>0</v>
      </c>
      <c r="M39" s="213">
        <f t="shared" si="19"/>
        <v>0</v>
      </c>
      <c r="N39" s="98"/>
      <c r="O39" s="98">
        <f t="shared" si="1"/>
        <v>0</v>
      </c>
      <c r="P39" s="214">
        <f t="shared" si="20"/>
        <v>0</v>
      </c>
      <c r="Q39" s="98"/>
      <c r="R39" s="98">
        <f t="shared" si="2"/>
        <v>0</v>
      </c>
      <c r="S39" s="214">
        <f t="shared" si="21"/>
        <v>0</v>
      </c>
      <c r="T39" s="98"/>
      <c r="U39" s="98">
        <f t="shared" si="3"/>
        <v>0</v>
      </c>
      <c r="V39" s="214">
        <f t="shared" si="22"/>
        <v>0</v>
      </c>
      <c r="W39" s="98"/>
      <c r="X39" s="98">
        <f t="shared" si="4"/>
        <v>0</v>
      </c>
      <c r="Y39" s="214">
        <f t="shared" si="23"/>
        <v>0</v>
      </c>
      <c r="Z39" s="98"/>
      <c r="AA39" s="98">
        <f t="shared" si="5"/>
        <v>0</v>
      </c>
      <c r="AB39" s="214">
        <f t="shared" si="24"/>
        <v>0</v>
      </c>
      <c r="AC39" s="98"/>
      <c r="AD39" s="98">
        <f t="shared" si="6"/>
        <v>0</v>
      </c>
      <c r="AE39" s="214">
        <f t="shared" si="25"/>
        <v>0</v>
      </c>
      <c r="AF39" s="98"/>
      <c r="AG39" s="98">
        <f t="shared" si="7"/>
        <v>0</v>
      </c>
      <c r="AH39" s="214">
        <f t="shared" si="26"/>
        <v>0</v>
      </c>
      <c r="AI39" s="98"/>
      <c r="AJ39" s="98">
        <f t="shared" si="8"/>
        <v>0</v>
      </c>
      <c r="AK39" s="214">
        <f t="shared" si="27"/>
        <v>0</v>
      </c>
      <c r="AL39" s="98"/>
      <c r="AM39" s="98">
        <f t="shared" si="9"/>
        <v>0</v>
      </c>
      <c r="AN39" s="214">
        <f t="shared" si="28"/>
        <v>0</v>
      </c>
      <c r="AO39" s="98"/>
      <c r="AP39" s="98">
        <f t="shared" si="10"/>
        <v>0</v>
      </c>
      <c r="AQ39" s="214">
        <f t="shared" si="29"/>
        <v>0</v>
      </c>
      <c r="AR39" s="98"/>
      <c r="AS39" s="98">
        <f t="shared" si="11"/>
        <v>0</v>
      </c>
      <c r="AT39" s="214">
        <f t="shared" si="30"/>
        <v>0</v>
      </c>
      <c r="AU39" s="98"/>
      <c r="AV39" s="215">
        <f t="shared" si="12"/>
        <v>0</v>
      </c>
      <c r="AW39" s="214">
        <f t="shared" si="31"/>
        <v>0</v>
      </c>
      <c r="AX39" s="98">
        <f t="shared" si="32"/>
        <v>0</v>
      </c>
      <c r="AY39" s="204">
        <f t="shared" si="13"/>
        <v>0</v>
      </c>
      <c r="AZ39" s="214">
        <f t="shared" si="33"/>
        <v>100</v>
      </c>
      <c r="BA39" s="98">
        <f t="shared" si="34"/>
        <v>5</v>
      </c>
      <c r="BB39" s="204">
        <f t="shared" si="14"/>
        <v>68.25</v>
      </c>
    </row>
    <row r="40" spans="1:54" s="218" customFormat="1" x14ac:dyDescent="0.2">
      <c r="A40" s="324" t="s">
        <v>951</v>
      </c>
      <c r="B40" s="28" t="s">
        <v>952</v>
      </c>
      <c r="C40" s="28" t="s">
        <v>953</v>
      </c>
      <c r="D40" s="58" t="s">
        <v>954</v>
      </c>
      <c r="E40" s="28" t="s">
        <v>110</v>
      </c>
      <c r="F40" s="410">
        <v>11.09</v>
      </c>
      <c r="G40" s="325">
        <v>2</v>
      </c>
      <c r="H40" s="325">
        <f t="shared" si="15"/>
        <v>2</v>
      </c>
      <c r="I40" s="37">
        <f>H40-G40</f>
        <v>0</v>
      </c>
      <c r="J40" s="37">
        <f t="shared" si="35"/>
        <v>13.95</v>
      </c>
      <c r="K40" s="38">
        <f>TRUNC(J40*G40,2)</f>
        <v>27.9</v>
      </c>
      <c r="L40" s="244">
        <f>TRUNC(J40*I40,2)</f>
        <v>0</v>
      </c>
      <c r="M40" s="213">
        <f>N40/$H40*100</f>
        <v>0</v>
      </c>
      <c r="N40" s="98"/>
      <c r="O40" s="98">
        <f t="shared" si="1"/>
        <v>0</v>
      </c>
      <c r="P40" s="214">
        <f>Q40/$H40*100</f>
        <v>0</v>
      </c>
      <c r="Q40" s="98"/>
      <c r="R40" s="98">
        <f t="shared" si="2"/>
        <v>0</v>
      </c>
      <c r="S40" s="214">
        <f>T40/$H40*100</f>
        <v>0</v>
      </c>
      <c r="T40" s="98"/>
      <c r="U40" s="98">
        <f t="shared" si="3"/>
        <v>0</v>
      </c>
      <c r="V40" s="214">
        <f>W40/$H40*100</f>
        <v>0</v>
      </c>
      <c r="W40" s="98"/>
      <c r="X40" s="98">
        <f t="shared" si="4"/>
        <v>0</v>
      </c>
      <c r="Y40" s="214">
        <f>Z40/$H40*100</f>
        <v>0</v>
      </c>
      <c r="Z40" s="98"/>
      <c r="AA40" s="98">
        <f t="shared" si="5"/>
        <v>0</v>
      </c>
      <c r="AB40" s="214">
        <f>AC40/$H40*100</f>
        <v>0</v>
      </c>
      <c r="AC40" s="98"/>
      <c r="AD40" s="98">
        <f t="shared" si="6"/>
        <v>0</v>
      </c>
      <c r="AE40" s="214">
        <f>AF40/$H40*100</f>
        <v>0</v>
      </c>
      <c r="AF40" s="98"/>
      <c r="AG40" s="98">
        <f t="shared" si="7"/>
        <v>0</v>
      </c>
      <c r="AH40" s="214">
        <f>AI40/$H40*100</f>
        <v>0</v>
      </c>
      <c r="AI40" s="98"/>
      <c r="AJ40" s="98">
        <f t="shared" si="8"/>
        <v>0</v>
      </c>
      <c r="AK40" s="214">
        <f>AL40/$H40*100</f>
        <v>0</v>
      </c>
      <c r="AL40" s="98"/>
      <c r="AM40" s="98">
        <f t="shared" si="9"/>
        <v>0</v>
      </c>
      <c r="AN40" s="214">
        <f>AO40/$H40*100</f>
        <v>0</v>
      </c>
      <c r="AO40" s="98"/>
      <c r="AP40" s="98">
        <f t="shared" si="10"/>
        <v>0</v>
      </c>
      <c r="AQ40" s="214">
        <f>AR40/$H40*100</f>
        <v>0</v>
      </c>
      <c r="AR40" s="98"/>
      <c r="AS40" s="98">
        <f t="shared" si="11"/>
        <v>0</v>
      </c>
      <c r="AT40" s="214">
        <f>AU40/$H40*100</f>
        <v>0</v>
      </c>
      <c r="AU40" s="98"/>
      <c r="AV40" s="215">
        <f t="shared" si="12"/>
        <v>0</v>
      </c>
      <c r="AW40" s="214">
        <f>AX40/$H40*100</f>
        <v>0</v>
      </c>
      <c r="AX40" s="98">
        <f>Q40+N40+T40+W40+Z40+AC40+AF40+AI40+AL40+AO40+AR40+AU40</f>
        <v>0</v>
      </c>
      <c r="AY40" s="204">
        <f t="shared" si="13"/>
        <v>0</v>
      </c>
      <c r="AZ40" s="214">
        <f>BA40/$H40*100</f>
        <v>100</v>
      </c>
      <c r="BA40" s="98">
        <f>H40-AX40</f>
        <v>2</v>
      </c>
      <c r="BB40" s="204">
        <f t="shared" si="14"/>
        <v>27.9</v>
      </c>
    </row>
    <row r="41" spans="1:54" s="218" customFormat="1" x14ac:dyDescent="0.2">
      <c r="A41" s="324" t="s">
        <v>955</v>
      </c>
      <c r="B41" s="28" t="s">
        <v>956</v>
      </c>
      <c r="C41" s="28" t="s">
        <v>957</v>
      </c>
      <c r="D41" s="58" t="s">
        <v>958</v>
      </c>
      <c r="E41" s="28" t="s">
        <v>110</v>
      </c>
      <c r="F41" s="410">
        <v>10.92</v>
      </c>
      <c r="G41" s="325">
        <v>2</v>
      </c>
      <c r="H41" s="325">
        <f t="shared" si="15"/>
        <v>2</v>
      </c>
      <c r="I41" s="37">
        <f t="shared" si="17"/>
        <v>0</v>
      </c>
      <c r="J41" s="37">
        <f t="shared" si="35"/>
        <v>13.74</v>
      </c>
      <c r="K41" s="38">
        <f t="shared" si="16"/>
        <v>27.48</v>
      </c>
      <c r="L41" s="244">
        <f t="shared" si="18"/>
        <v>0</v>
      </c>
      <c r="M41" s="213">
        <f t="shared" si="19"/>
        <v>0</v>
      </c>
      <c r="N41" s="98"/>
      <c r="O41" s="98">
        <f t="shared" si="1"/>
        <v>0</v>
      </c>
      <c r="P41" s="214">
        <f t="shared" si="20"/>
        <v>0</v>
      </c>
      <c r="Q41" s="98"/>
      <c r="R41" s="98">
        <f t="shared" si="2"/>
        <v>0</v>
      </c>
      <c r="S41" s="214">
        <f t="shared" si="21"/>
        <v>0</v>
      </c>
      <c r="T41" s="98"/>
      <c r="U41" s="98">
        <f t="shared" si="3"/>
        <v>0</v>
      </c>
      <c r="V41" s="214">
        <f t="shared" si="22"/>
        <v>0</v>
      </c>
      <c r="W41" s="98"/>
      <c r="X41" s="98">
        <f t="shared" si="4"/>
        <v>0</v>
      </c>
      <c r="Y41" s="214">
        <f t="shared" si="23"/>
        <v>0</v>
      </c>
      <c r="Z41" s="98"/>
      <c r="AA41" s="98">
        <f t="shared" si="5"/>
        <v>0</v>
      </c>
      <c r="AB41" s="214">
        <f t="shared" si="24"/>
        <v>0</v>
      </c>
      <c r="AC41" s="98"/>
      <c r="AD41" s="98">
        <f t="shared" si="6"/>
        <v>0</v>
      </c>
      <c r="AE41" s="214">
        <f t="shared" si="25"/>
        <v>0</v>
      </c>
      <c r="AF41" s="98"/>
      <c r="AG41" s="98">
        <f t="shared" si="7"/>
        <v>0</v>
      </c>
      <c r="AH41" s="214">
        <f t="shared" si="26"/>
        <v>0</v>
      </c>
      <c r="AI41" s="98"/>
      <c r="AJ41" s="98">
        <f t="shared" si="8"/>
        <v>0</v>
      </c>
      <c r="AK41" s="214">
        <f t="shared" si="27"/>
        <v>0</v>
      </c>
      <c r="AL41" s="98"/>
      <c r="AM41" s="98">
        <f t="shared" si="9"/>
        <v>0</v>
      </c>
      <c r="AN41" s="214">
        <f t="shared" si="28"/>
        <v>0</v>
      </c>
      <c r="AO41" s="98"/>
      <c r="AP41" s="98">
        <f t="shared" si="10"/>
        <v>0</v>
      </c>
      <c r="AQ41" s="214">
        <f t="shared" si="29"/>
        <v>0</v>
      </c>
      <c r="AR41" s="98"/>
      <c r="AS41" s="98">
        <f t="shared" si="11"/>
        <v>0</v>
      </c>
      <c r="AT41" s="214">
        <f t="shared" si="30"/>
        <v>0</v>
      </c>
      <c r="AU41" s="98"/>
      <c r="AV41" s="215">
        <f t="shared" si="12"/>
        <v>0</v>
      </c>
      <c r="AW41" s="214">
        <f t="shared" si="31"/>
        <v>0</v>
      </c>
      <c r="AX41" s="98">
        <f t="shared" si="32"/>
        <v>0</v>
      </c>
      <c r="AY41" s="204">
        <f t="shared" si="13"/>
        <v>0</v>
      </c>
      <c r="AZ41" s="214">
        <f t="shared" si="33"/>
        <v>100</v>
      </c>
      <c r="BA41" s="98">
        <f t="shared" si="34"/>
        <v>2</v>
      </c>
      <c r="BB41" s="204">
        <f t="shared" si="14"/>
        <v>27.48</v>
      </c>
    </row>
    <row r="42" spans="1:54" s="218" customFormat="1" x14ac:dyDescent="0.2">
      <c r="A42" s="324" t="s">
        <v>959</v>
      </c>
      <c r="B42" s="28" t="s">
        <v>960</v>
      </c>
      <c r="C42" s="28" t="s">
        <v>961</v>
      </c>
      <c r="D42" s="58" t="s">
        <v>962</v>
      </c>
      <c r="E42" s="28" t="s">
        <v>110</v>
      </c>
      <c r="F42" s="410">
        <v>46.19</v>
      </c>
      <c r="G42" s="325">
        <v>7</v>
      </c>
      <c r="H42" s="325">
        <f t="shared" si="15"/>
        <v>7</v>
      </c>
      <c r="I42" s="37">
        <f t="shared" si="17"/>
        <v>0</v>
      </c>
      <c r="J42" s="37">
        <f t="shared" si="35"/>
        <v>58.11</v>
      </c>
      <c r="K42" s="38">
        <f t="shared" si="16"/>
        <v>406.77</v>
      </c>
      <c r="L42" s="244">
        <f t="shared" si="18"/>
        <v>0</v>
      </c>
      <c r="M42" s="213">
        <f t="shared" si="19"/>
        <v>0</v>
      </c>
      <c r="N42" s="98"/>
      <c r="O42" s="98">
        <f t="shared" si="1"/>
        <v>0</v>
      </c>
      <c r="P42" s="214">
        <f t="shared" si="20"/>
        <v>0</v>
      </c>
      <c r="Q42" s="98"/>
      <c r="R42" s="98">
        <f t="shared" si="2"/>
        <v>0</v>
      </c>
      <c r="S42" s="214">
        <f t="shared" si="21"/>
        <v>0</v>
      </c>
      <c r="T42" s="98"/>
      <c r="U42" s="98">
        <f t="shared" si="3"/>
        <v>0</v>
      </c>
      <c r="V42" s="214">
        <f t="shared" si="22"/>
        <v>0</v>
      </c>
      <c r="W42" s="98"/>
      <c r="X42" s="98">
        <f t="shared" si="4"/>
        <v>0</v>
      </c>
      <c r="Y42" s="214">
        <f t="shared" si="23"/>
        <v>0</v>
      </c>
      <c r="Z42" s="98"/>
      <c r="AA42" s="98">
        <f t="shared" si="5"/>
        <v>0</v>
      </c>
      <c r="AB42" s="214">
        <f t="shared" si="24"/>
        <v>0</v>
      </c>
      <c r="AC42" s="98"/>
      <c r="AD42" s="98">
        <f t="shared" si="6"/>
        <v>0</v>
      </c>
      <c r="AE42" s="214">
        <f t="shared" si="25"/>
        <v>0</v>
      </c>
      <c r="AF42" s="98"/>
      <c r="AG42" s="98">
        <f t="shared" si="7"/>
        <v>0</v>
      </c>
      <c r="AH42" s="214">
        <f t="shared" si="26"/>
        <v>0</v>
      </c>
      <c r="AI42" s="98"/>
      <c r="AJ42" s="98">
        <f t="shared" si="8"/>
        <v>0</v>
      </c>
      <c r="AK42" s="214">
        <f t="shared" si="27"/>
        <v>0</v>
      </c>
      <c r="AL42" s="98"/>
      <c r="AM42" s="98">
        <f t="shared" si="9"/>
        <v>0</v>
      </c>
      <c r="AN42" s="214">
        <f t="shared" si="28"/>
        <v>0</v>
      </c>
      <c r="AO42" s="98"/>
      <c r="AP42" s="98">
        <f t="shared" si="10"/>
        <v>0</v>
      </c>
      <c r="AQ42" s="214">
        <f t="shared" si="29"/>
        <v>0</v>
      </c>
      <c r="AR42" s="98"/>
      <c r="AS42" s="98">
        <f t="shared" si="11"/>
        <v>0</v>
      </c>
      <c r="AT42" s="214">
        <f t="shared" si="30"/>
        <v>0</v>
      </c>
      <c r="AU42" s="98"/>
      <c r="AV42" s="215">
        <f t="shared" si="12"/>
        <v>0</v>
      </c>
      <c r="AW42" s="214">
        <f t="shared" si="31"/>
        <v>0</v>
      </c>
      <c r="AX42" s="98">
        <f t="shared" si="32"/>
        <v>0</v>
      </c>
      <c r="AY42" s="204">
        <f t="shared" si="13"/>
        <v>0</v>
      </c>
      <c r="AZ42" s="214">
        <f t="shared" si="33"/>
        <v>100</v>
      </c>
      <c r="BA42" s="98">
        <f t="shared" si="34"/>
        <v>7</v>
      </c>
      <c r="BB42" s="204">
        <f t="shared" si="14"/>
        <v>406.77</v>
      </c>
    </row>
    <row r="43" spans="1:54" s="218" customFormat="1" ht="28.5" x14ac:dyDescent="0.2">
      <c r="A43" s="324" t="s">
        <v>963</v>
      </c>
      <c r="B43" s="87" t="s">
        <v>104</v>
      </c>
      <c r="C43" s="87" t="s">
        <v>104</v>
      </c>
      <c r="D43" s="92" t="s">
        <v>964</v>
      </c>
      <c r="E43" s="28" t="s">
        <v>110</v>
      </c>
      <c r="F43" s="358">
        <f>1.25*35.37</f>
        <v>44.212499999999999</v>
      </c>
      <c r="G43" s="325">
        <v>2</v>
      </c>
      <c r="H43" s="325">
        <f t="shared" si="15"/>
        <v>2</v>
      </c>
      <c r="I43" s="37">
        <f t="shared" si="17"/>
        <v>0</v>
      </c>
      <c r="J43" s="37">
        <f t="shared" si="35"/>
        <v>55.62</v>
      </c>
      <c r="K43" s="38">
        <f t="shared" si="16"/>
        <v>111.24</v>
      </c>
      <c r="L43" s="244">
        <f t="shared" si="18"/>
        <v>0</v>
      </c>
      <c r="M43" s="213">
        <f t="shared" si="19"/>
        <v>0</v>
      </c>
      <c r="N43" s="98"/>
      <c r="O43" s="98">
        <f t="shared" si="1"/>
        <v>0</v>
      </c>
      <c r="P43" s="214">
        <f t="shared" si="20"/>
        <v>0</v>
      </c>
      <c r="Q43" s="98"/>
      <c r="R43" s="98">
        <f t="shared" si="2"/>
        <v>0</v>
      </c>
      <c r="S43" s="214">
        <f t="shared" si="21"/>
        <v>0</v>
      </c>
      <c r="T43" s="98"/>
      <c r="U43" s="98">
        <f t="shared" si="3"/>
        <v>0</v>
      </c>
      <c r="V43" s="214">
        <f t="shared" si="22"/>
        <v>0</v>
      </c>
      <c r="W43" s="98"/>
      <c r="X43" s="98">
        <f t="shared" si="4"/>
        <v>0</v>
      </c>
      <c r="Y43" s="214">
        <f t="shared" si="23"/>
        <v>0</v>
      </c>
      <c r="Z43" s="98"/>
      <c r="AA43" s="98">
        <f t="shared" si="5"/>
        <v>0</v>
      </c>
      <c r="AB43" s="214">
        <f t="shared" si="24"/>
        <v>0</v>
      </c>
      <c r="AC43" s="98"/>
      <c r="AD43" s="98">
        <f t="shared" si="6"/>
        <v>0</v>
      </c>
      <c r="AE43" s="214">
        <f t="shared" si="25"/>
        <v>0</v>
      </c>
      <c r="AF43" s="98"/>
      <c r="AG43" s="98">
        <f t="shared" si="7"/>
        <v>0</v>
      </c>
      <c r="AH43" s="214">
        <f t="shared" si="26"/>
        <v>0</v>
      </c>
      <c r="AI43" s="98"/>
      <c r="AJ43" s="98">
        <f t="shared" si="8"/>
        <v>0</v>
      </c>
      <c r="AK43" s="214">
        <f t="shared" si="27"/>
        <v>0</v>
      </c>
      <c r="AL43" s="98"/>
      <c r="AM43" s="98">
        <f t="shared" si="9"/>
        <v>0</v>
      </c>
      <c r="AN43" s="214">
        <f t="shared" si="28"/>
        <v>0</v>
      </c>
      <c r="AO43" s="98"/>
      <c r="AP43" s="98">
        <f t="shared" si="10"/>
        <v>0</v>
      </c>
      <c r="AQ43" s="214">
        <f t="shared" si="29"/>
        <v>0</v>
      </c>
      <c r="AR43" s="98"/>
      <c r="AS43" s="98">
        <f t="shared" si="11"/>
        <v>0</v>
      </c>
      <c r="AT43" s="214">
        <f t="shared" si="30"/>
        <v>0</v>
      </c>
      <c r="AU43" s="98"/>
      <c r="AV43" s="215">
        <f t="shared" si="12"/>
        <v>0</v>
      </c>
      <c r="AW43" s="214">
        <f t="shared" si="31"/>
        <v>0</v>
      </c>
      <c r="AX43" s="98">
        <f t="shared" si="32"/>
        <v>0</v>
      </c>
      <c r="AY43" s="204">
        <f t="shared" si="13"/>
        <v>0</v>
      </c>
      <c r="AZ43" s="214">
        <f t="shared" si="33"/>
        <v>100</v>
      </c>
      <c r="BA43" s="98">
        <f t="shared" si="34"/>
        <v>2</v>
      </c>
      <c r="BB43" s="204">
        <f t="shared" si="14"/>
        <v>111.24</v>
      </c>
    </row>
    <row r="44" spans="1:54" s="218" customFormat="1" x14ac:dyDescent="0.2">
      <c r="A44" s="324" t="s">
        <v>965</v>
      </c>
      <c r="B44" s="28" t="s">
        <v>966</v>
      </c>
      <c r="C44" s="28" t="s">
        <v>967</v>
      </c>
      <c r="D44" s="58" t="s">
        <v>968</v>
      </c>
      <c r="E44" s="28" t="s">
        <v>110</v>
      </c>
      <c r="F44" s="410">
        <v>42.2</v>
      </c>
      <c r="G44" s="325">
        <v>27</v>
      </c>
      <c r="H44" s="325">
        <f t="shared" si="15"/>
        <v>27</v>
      </c>
      <c r="I44" s="37">
        <f>H44-G44</f>
        <v>0</v>
      </c>
      <c r="J44" s="37">
        <f t="shared" si="35"/>
        <v>53.09</v>
      </c>
      <c r="K44" s="38">
        <f>TRUNC(J44*G44,2)</f>
        <v>1433.43</v>
      </c>
      <c r="L44" s="244">
        <f>TRUNC(J44*I44,2)</f>
        <v>0</v>
      </c>
      <c r="M44" s="213">
        <f>N44/$H44*100</f>
        <v>0</v>
      </c>
      <c r="N44" s="98"/>
      <c r="O44" s="98">
        <f t="shared" si="1"/>
        <v>0</v>
      </c>
      <c r="P44" s="214">
        <f>Q44/$H44*100</f>
        <v>0</v>
      </c>
      <c r="Q44" s="98"/>
      <c r="R44" s="98">
        <f t="shared" si="2"/>
        <v>0</v>
      </c>
      <c r="S44" s="214">
        <f>T44/$H44*100</f>
        <v>0</v>
      </c>
      <c r="T44" s="98"/>
      <c r="U44" s="98">
        <f t="shared" si="3"/>
        <v>0</v>
      </c>
      <c r="V44" s="214">
        <f>W44/$H44*100</f>
        <v>0</v>
      </c>
      <c r="W44" s="98"/>
      <c r="X44" s="98">
        <f t="shared" si="4"/>
        <v>0</v>
      </c>
      <c r="Y44" s="214">
        <f>Z44/$H44*100</f>
        <v>0</v>
      </c>
      <c r="Z44" s="98"/>
      <c r="AA44" s="98">
        <f t="shared" si="5"/>
        <v>0</v>
      </c>
      <c r="AB44" s="214">
        <f>AC44/$H44*100</f>
        <v>0</v>
      </c>
      <c r="AC44" s="98"/>
      <c r="AD44" s="98">
        <f t="shared" si="6"/>
        <v>0</v>
      </c>
      <c r="AE44" s="214">
        <f>AF44/$H44*100</f>
        <v>0</v>
      </c>
      <c r="AF44" s="98"/>
      <c r="AG44" s="98">
        <f t="shared" si="7"/>
        <v>0</v>
      </c>
      <c r="AH44" s="214">
        <f>AI44/$H44*100</f>
        <v>0</v>
      </c>
      <c r="AI44" s="98"/>
      <c r="AJ44" s="98">
        <f t="shared" si="8"/>
        <v>0</v>
      </c>
      <c r="AK44" s="214">
        <f>AL44/$H44*100</f>
        <v>0</v>
      </c>
      <c r="AL44" s="98"/>
      <c r="AM44" s="98">
        <f t="shared" si="9"/>
        <v>0</v>
      </c>
      <c r="AN44" s="214">
        <f>AO44/$H44*100</f>
        <v>0</v>
      </c>
      <c r="AO44" s="98"/>
      <c r="AP44" s="98">
        <f t="shared" si="10"/>
        <v>0</v>
      </c>
      <c r="AQ44" s="214">
        <f>AR44/$H44*100</f>
        <v>0</v>
      </c>
      <c r="AR44" s="98"/>
      <c r="AS44" s="98">
        <f t="shared" si="11"/>
        <v>0</v>
      </c>
      <c r="AT44" s="214">
        <f>AU44/$H44*100</f>
        <v>0</v>
      </c>
      <c r="AU44" s="98"/>
      <c r="AV44" s="215">
        <f t="shared" si="12"/>
        <v>0</v>
      </c>
      <c r="AW44" s="214">
        <f>AX44/$H44*100</f>
        <v>0</v>
      </c>
      <c r="AX44" s="98">
        <f>Q44+N44+T44+W44+Z44+AC44+AF44+AI44+AL44+AO44+AR44+AU44</f>
        <v>0</v>
      </c>
      <c r="AY44" s="204">
        <f t="shared" si="13"/>
        <v>0</v>
      </c>
      <c r="AZ44" s="214">
        <f>BA44/$H44*100</f>
        <v>100</v>
      </c>
      <c r="BA44" s="98">
        <f>H44-AX44</f>
        <v>27</v>
      </c>
      <c r="BB44" s="204">
        <f t="shared" si="14"/>
        <v>1433.43</v>
      </c>
    </row>
    <row r="45" spans="1:54" s="218" customFormat="1" x14ac:dyDescent="0.2">
      <c r="A45" s="324" t="s">
        <v>969</v>
      </c>
      <c r="B45" s="28" t="s">
        <v>970</v>
      </c>
      <c r="C45" s="28" t="s">
        <v>971</v>
      </c>
      <c r="D45" s="58" t="s">
        <v>972</v>
      </c>
      <c r="E45" s="28" t="s">
        <v>110</v>
      </c>
      <c r="F45" s="410">
        <v>49.04</v>
      </c>
      <c r="G45" s="325">
        <v>27</v>
      </c>
      <c r="H45" s="325">
        <f t="shared" si="15"/>
        <v>27</v>
      </c>
      <c r="I45" s="37">
        <f t="shared" si="17"/>
        <v>0</v>
      </c>
      <c r="J45" s="37">
        <f t="shared" si="35"/>
        <v>61.7</v>
      </c>
      <c r="K45" s="38">
        <f t="shared" si="16"/>
        <v>1665.9</v>
      </c>
      <c r="L45" s="244">
        <f t="shared" si="18"/>
        <v>0</v>
      </c>
      <c r="M45" s="213">
        <f t="shared" si="19"/>
        <v>0</v>
      </c>
      <c r="N45" s="98"/>
      <c r="O45" s="98">
        <f t="shared" si="1"/>
        <v>0</v>
      </c>
      <c r="P45" s="214">
        <f t="shared" si="20"/>
        <v>0</v>
      </c>
      <c r="Q45" s="98"/>
      <c r="R45" s="98">
        <f t="shared" si="2"/>
        <v>0</v>
      </c>
      <c r="S45" s="214">
        <f t="shared" si="21"/>
        <v>0</v>
      </c>
      <c r="T45" s="98"/>
      <c r="U45" s="98">
        <f t="shared" si="3"/>
        <v>0</v>
      </c>
      <c r="V45" s="214">
        <f t="shared" si="22"/>
        <v>0</v>
      </c>
      <c r="W45" s="98"/>
      <c r="X45" s="98">
        <f t="shared" si="4"/>
        <v>0</v>
      </c>
      <c r="Y45" s="214">
        <f t="shared" si="23"/>
        <v>0</v>
      </c>
      <c r="Z45" s="98"/>
      <c r="AA45" s="98">
        <f t="shared" si="5"/>
        <v>0</v>
      </c>
      <c r="AB45" s="214">
        <f t="shared" si="24"/>
        <v>0</v>
      </c>
      <c r="AC45" s="98"/>
      <c r="AD45" s="98">
        <f t="shared" si="6"/>
        <v>0</v>
      </c>
      <c r="AE45" s="214">
        <f t="shared" si="25"/>
        <v>0</v>
      </c>
      <c r="AF45" s="98"/>
      <c r="AG45" s="98">
        <f t="shared" si="7"/>
        <v>0</v>
      </c>
      <c r="AH45" s="214">
        <f t="shared" si="26"/>
        <v>0</v>
      </c>
      <c r="AI45" s="98"/>
      <c r="AJ45" s="98">
        <f t="shared" si="8"/>
        <v>0</v>
      </c>
      <c r="AK45" s="214">
        <f t="shared" si="27"/>
        <v>0</v>
      </c>
      <c r="AL45" s="98"/>
      <c r="AM45" s="98">
        <f t="shared" si="9"/>
        <v>0</v>
      </c>
      <c r="AN45" s="214">
        <f t="shared" si="28"/>
        <v>0</v>
      </c>
      <c r="AO45" s="98"/>
      <c r="AP45" s="98">
        <f t="shared" si="10"/>
        <v>0</v>
      </c>
      <c r="AQ45" s="214">
        <f t="shared" si="29"/>
        <v>0</v>
      </c>
      <c r="AR45" s="98"/>
      <c r="AS45" s="98">
        <f t="shared" si="11"/>
        <v>0</v>
      </c>
      <c r="AT45" s="214">
        <f t="shared" si="30"/>
        <v>0</v>
      </c>
      <c r="AU45" s="98"/>
      <c r="AV45" s="215">
        <f t="shared" si="12"/>
        <v>0</v>
      </c>
      <c r="AW45" s="214">
        <f t="shared" si="31"/>
        <v>0</v>
      </c>
      <c r="AX45" s="98">
        <f t="shared" si="32"/>
        <v>0</v>
      </c>
      <c r="AY45" s="204">
        <f t="shared" si="13"/>
        <v>0</v>
      </c>
      <c r="AZ45" s="214">
        <f t="shared" si="33"/>
        <v>100</v>
      </c>
      <c r="BA45" s="98">
        <f t="shared" si="34"/>
        <v>27</v>
      </c>
      <c r="BB45" s="204">
        <f t="shared" si="14"/>
        <v>1665.9</v>
      </c>
    </row>
    <row r="46" spans="1:54" s="218" customFormat="1" x14ac:dyDescent="0.2">
      <c r="A46" s="324" t="s">
        <v>973</v>
      </c>
      <c r="B46" s="28" t="s">
        <v>974</v>
      </c>
      <c r="C46" s="28" t="s">
        <v>975</v>
      </c>
      <c r="D46" s="58" t="s">
        <v>976</v>
      </c>
      <c r="E46" s="28" t="s">
        <v>110</v>
      </c>
      <c r="F46" s="410">
        <v>46.19</v>
      </c>
      <c r="G46" s="325">
        <v>1</v>
      </c>
      <c r="H46" s="325">
        <f t="shared" si="15"/>
        <v>1</v>
      </c>
      <c r="I46" s="37">
        <f t="shared" si="17"/>
        <v>0</v>
      </c>
      <c r="J46" s="37">
        <f t="shared" si="35"/>
        <v>58.11</v>
      </c>
      <c r="K46" s="38">
        <f t="shared" si="16"/>
        <v>58.11</v>
      </c>
      <c r="L46" s="244">
        <f t="shared" si="18"/>
        <v>0</v>
      </c>
      <c r="M46" s="213">
        <f t="shared" si="19"/>
        <v>0</v>
      </c>
      <c r="N46" s="98"/>
      <c r="O46" s="98">
        <f t="shared" si="1"/>
        <v>0</v>
      </c>
      <c r="P46" s="214">
        <f t="shared" si="20"/>
        <v>0</v>
      </c>
      <c r="Q46" s="98"/>
      <c r="R46" s="98">
        <f t="shared" si="2"/>
        <v>0</v>
      </c>
      <c r="S46" s="214">
        <f t="shared" si="21"/>
        <v>0</v>
      </c>
      <c r="T46" s="98"/>
      <c r="U46" s="98">
        <f t="shared" si="3"/>
        <v>0</v>
      </c>
      <c r="V46" s="214">
        <f t="shared" si="22"/>
        <v>0</v>
      </c>
      <c r="W46" s="98"/>
      <c r="X46" s="98">
        <f t="shared" si="4"/>
        <v>0</v>
      </c>
      <c r="Y46" s="214">
        <f t="shared" si="23"/>
        <v>0</v>
      </c>
      <c r="Z46" s="98"/>
      <c r="AA46" s="98">
        <f t="shared" si="5"/>
        <v>0</v>
      </c>
      <c r="AB46" s="214">
        <f t="shared" si="24"/>
        <v>0</v>
      </c>
      <c r="AC46" s="98"/>
      <c r="AD46" s="98">
        <f t="shared" si="6"/>
        <v>0</v>
      </c>
      <c r="AE46" s="214">
        <f t="shared" si="25"/>
        <v>0</v>
      </c>
      <c r="AF46" s="98"/>
      <c r="AG46" s="98">
        <f t="shared" si="7"/>
        <v>0</v>
      </c>
      <c r="AH46" s="214">
        <f t="shared" si="26"/>
        <v>0</v>
      </c>
      <c r="AI46" s="98"/>
      <c r="AJ46" s="98">
        <f t="shared" si="8"/>
        <v>0</v>
      </c>
      <c r="AK46" s="214">
        <f t="shared" si="27"/>
        <v>0</v>
      </c>
      <c r="AL46" s="98"/>
      <c r="AM46" s="98">
        <f t="shared" si="9"/>
        <v>0</v>
      </c>
      <c r="AN46" s="214">
        <f t="shared" si="28"/>
        <v>0</v>
      </c>
      <c r="AO46" s="98"/>
      <c r="AP46" s="98">
        <f t="shared" si="10"/>
        <v>0</v>
      </c>
      <c r="AQ46" s="214">
        <f t="shared" si="29"/>
        <v>0</v>
      </c>
      <c r="AR46" s="98"/>
      <c r="AS46" s="98">
        <f t="shared" si="11"/>
        <v>0</v>
      </c>
      <c r="AT46" s="214">
        <f t="shared" si="30"/>
        <v>0</v>
      </c>
      <c r="AU46" s="98"/>
      <c r="AV46" s="215">
        <f t="shared" si="12"/>
        <v>0</v>
      </c>
      <c r="AW46" s="214">
        <f t="shared" si="31"/>
        <v>0</v>
      </c>
      <c r="AX46" s="98">
        <f t="shared" si="32"/>
        <v>0</v>
      </c>
      <c r="AY46" s="204">
        <f t="shared" si="13"/>
        <v>0</v>
      </c>
      <c r="AZ46" s="214">
        <f t="shared" si="33"/>
        <v>100</v>
      </c>
      <c r="BA46" s="98">
        <f t="shared" si="34"/>
        <v>1</v>
      </c>
      <c r="BB46" s="204">
        <f t="shared" si="14"/>
        <v>58.11</v>
      </c>
    </row>
    <row r="47" spans="1:54" s="218" customFormat="1" x14ac:dyDescent="0.2">
      <c r="A47" s="324" t="s">
        <v>977</v>
      </c>
      <c r="B47" s="28" t="s">
        <v>978</v>
      </c>
      <c r="C47" s="28" t="s">
        <v>979</v>
      </c>
      <c r="D47" s="58" t="s">
        <v>980</v>
      </c>
      <c r="E47" s="28" t="s">
        <v>110</v>
      </c>
      <c r="F47" s="410">
        <v>56.57</v>
      </c>
      <c r="G47" s="325">
        <v>4</v>
      </c>
      <c r="H47" s="325">
        <f t="shared" si="15"/>
        <v>4</v>
      </c>
      <c r="I47" s="37">
        <f t="shared" si="17"/>
        <v>0</v>
      </c>
      <c r="J47" s="37">
        <f t="shared" si="35"/>
        <v>71.17</v>
      </c>
      <c r="K47" s="38">
        <f t="shared" si="16"/>
        <v>284.68</v>
      </c>
      <c r="L47" s="244">
        <f t="shared" si="18"/>
        <v>0</v>
      </c>
      <c r="M47" s="213">
        <f t="shared" si="19"/>
        <v>0</v>
      </c>
      <c r="N47" s="98"/>
      <c r="O47" s="98">
        <f t="shared" si="1"/>
        <v>0</v>
      </c>
      <c r="P47" s="214">
        <f t="shared" si="20"/>
        <v>0</v>
      </c>
      <c r="Q47" s="98"/>
      <c r="R47" s="98">
        <f t="shared" si="2"/>
        <v>0</v>
      </c>
      <c r="S47" s="214">
        <f t="shared" si="21"/>
        <v>0</v>
      </c>
      <c r="T47" s="98"/>
      <c r="U47" s="98">
        <f t="shared" si="3"/>
        <v>0</v>
      </c>
      <c r="V47" s="214">
        <f t="shared" si="22"/>
        <v>0</v>
      </c>
      <c r="W47" s="98"/>
      <c r="X47" s="98">
        <f t="shared" si="4"/>
        <v>0</v>
      </c>
      <c r="Y47" s="214">
        <f t="shared" si="23"/>
        <v>0</v>
      </c>
      <c r="Z47" s="98"/>
      <c r="AA47" s="98">
        <f t="shared" si="5"/>
        <v>0</v>
      </c>
      <c r="AB47" s="214">
        <f t="shared" si="24"/>
        <v>0</v>
      </c>
      <c r="AC47" s="98"/>
      <c r="AD47" s="98">
        <f t="shared" si="6"/>
        <v>0</v>
      </c>
      <c r="AE47" s="214">
        <f t="shared" si="25"/>
        <v>0</v>
      </c>
      <c r="AF47" s="98"/>
      <c r="AG47" s="98">
        <f t="shared" si="7"/>
        <v>0</v>
      </c>
      <c r="AH47" s="214">
        <f t="shared" si="26"/>
        <v>0</v>
      </c>
      <c r="AI47" s="98"/>
      <c r="AJ47" s="98">
        <f t="shared" si="8"/>
        <v>0</v>
      </c>
      <c r="AK47" s="214">
        <f t="shared" si="27"/>
        <v>0</v>
      </c>
      <c r="AL47" s="98"/>
      <c r="AM47" s="98">
        <f t="shared" si="9"/>
        <v>0</v>
      </c>
      <c r="AN47" s="214">
        <f t="shared" si="28"/>
        <v>0</v>
      </c>
      <c r="AO47" s="98"/>
      <c r="AP47" s="98">
        <f t="shared" si="10"/>
        <v>0</v>
      </c>
      <c r="AQ47" s="214">
        <f t="shared" si="29"/>
        <v>0</v>
      </c>
      <c r="AR47" s="98"/>
      <c r="AS47" s="98">
        <f t="shared" si="11"/>
        <v>0</v>
      </c>
      <c r="AT47" s="214">
        <f t="shared" si="30"/>
        <v>0</v>
      </c>
      <c r="AU47" s="98"/>
      <c r="AV47" s="215">
        <f t="shared" si="12"/>
        <v>0</v>
      </c>
      <c r="AW47" s="214">
        <f t="shared" si="31"/>
        <v>0</v>
      </c>
      <c r="AX47" s="98">
        <f t="shared" si="32"/>
        <v>0</v>
      </c>
      <c r="AY47" s="204">
        <f t="shared" si="13"/>
        <v>0</v>
      </c>
      <c r="AZ47" s="214">
        <f t="shared" si="33"/>
        <v>100</v>
      </c>
      <c r="BA47" s="98">
        <f t="shared" si="34"/>
        <v>4</v>
      </c>
      <c r="BB47" s="204">
        <f t="shared" si="14"/>
        <v>284.68</v>
      </c>
    </row>
    <row r="48" spans="1:54" s="218" customFormat="1" ht="28.5" x14ac:dyDescent="0.2">
      <c r="A48" s="324" t="s">
        <v>981</v>
      </c>
      <c r="B48" s="87" t="s">
        <v>104</v>
      </c>
      <c r="C48" s="87" t="s">
        <v>104</v>
      </c>
      <c r="D48" s="92" t="s">
        <v>982</v>
      </c>
      <c r="E48" s="28" t="s">
        <v>110</v>
      </c>
      <c r="F48" s="358">
        <f>1.25*52.44</f>
        <v>65.55</v>
      </c>
      <c r="G48" s="325">
        <v>4</v>
      </c>
      <c r="H48" s="325">
        <f t="shared" si="15"/>
        <v>4</v>
      </c>
      <c r="I48" s="37">
        <f t="shared" si="17"/>
        <v>0</v>
      </c>
      <c r="J48" s="37">
        <f t="shared" si="35"/>
        <v>82.47</v>
      </c>
      <c r="K48" s="38">
        <f t="shared" si="16"/>
        <v>329.88</v>
      </c>
      <c r="L48" s="244">
        <f t="shared" si="18"/>
        <v>0</v>
      </c>
      <c r="M48" s="213">
        <f t="shared" si="19"/>
        <v>0</v>
      </c>
      <c r="N48" s="98"/>
      <c r="O48" s="98">
        <f t="shared" si="1"/>
        <v>0</v>
      </c>
      <c r="P48" s="214">
        <f t="shared" si="20"/>
        <v>0</v>
      </c>
      <c r="Q48" s="98"/>
      <c r="R48" s="98">
        <f t="shared" si="2"/>
        <v>0</v>
      </c>
      <c r="S48" s="214">
        <f t="shared" si="21"/>
        <v>0</v>
      </c>
      <c r="T48" s="98"/>
      <c r="U48" s="98">
        <f t="shared" si="3"/>
        <v>0</v>
      </c>
      <c r="V48" s="214">
        <f t="shared" si="22"/>
        <v>0</v>
      </c>
      <c r="W48" s="98"/>
      <c r="X48" s="98">
        <f t="shared" si="4"/>
        <v>0</v>
      </c>
      <c r="Y48" s="214">
        <f t="shared" si="23"/>
        <v>0</v>
      </c>
      <c r="Z48" s="98"/>
      <c r="AA48" s="98">
        <f t="shared" si="5"/>
        <v>0</v>
      </c>
      <c r="AB48" s="214">
        <f t="shared" si="24"/>
        <v>0</v>
      </c>
      <c r="AC48" s="98"/>
      <c r="AD48" s="98">
        <f t="shared" si="6"/>
        <v>0</v>
      </c>
      <c r="AE48" s="214">
        <f t="shared" si="25"/>
        <v>0</v>
      </c>
      <c r="AF48" s="98"/>
      <c r="AG48" s="98">
        <f t="shared" si="7"/>
        <v>0</v>
      </c>
      <c r="AH48" s="214">
        <f t="shared" si="26"/>
        <v>0</v>
      </c>
      <c r="AI48" s="98"/>
      <c r="AJ48" s="98">
        <f t="shared" si="8"/>
        <v>0</v>
      </c>
      <c r="AK48" s="214">
        <f t="shared" si="27"/>
        <v>0</v>
      </c>
      <c r="AL48" s="98"/>
      <c r="AM48" s="98">
        <f t="shared" si="9"/>
        <v>0</v>
      </c>
      <c r="AN48" s="214">
        <f t="shared" si="28"/>
        <v>0</v>
      </c>
      <c r="AO48" s="98"/>
      <c r="AP48" s="98">
        <f t="shared" si="10"/>
        <v>0</v>
      </c>
      <c r="AQ48" s="214">
        <f t="shared" si="29"/>
        <v>0</v>
      </c>
      <c r="AR48" s="98"/>
      <c r="AS48" s="98">
        <f t="shared" si="11"/>
        <v>0</v>
      </c>
      <c r="AT48" s="214">
        <f t="shared" si="30"/>
        <v>0</v>
      </c>
      <c r="AU48" s="98"/>
      <c r="AV48" s="215">
        <f t="shared" si="12"/>
        <v>0</v>
      </c>
      <c r="AW48" s="214">
        <f t="shared" si="31"/>
        <v>0</v>
      </c>
      <c r="AX48" s="98">
        <f t="shared" si="32"/>
        <v>0</v>
      </c>
      <c r="AY48" s="204">
        <f t="shared" si="13"/>
        <v>0</v>
      </c>
      <c r="AZ48" s="214">
        <f t="shared" si="33"/>
        <v>100</v>
      </c>
      <c r="BA48" s="98">
        <f t="shared" si="34"/>
        <v>4</v>
      </c>
      <c r="BB48" s="204">
        <f t="shared" si="14"/>
        <v>329.88</v>
      </c>
    </row>
    <row r="49" spans="1:54" s="218" customFormat="1" ht="28.5" x14ac:dyDescent="0.2">
      <c r="A49" s="324" t="s">
        <v>983</v>
      </c>
      <c r="B49" s="87" t="s">
        <v>104</v>
      </c>
      <c r="C49" s="87" t="s">
        <v>104</v>
      </c>
      <c r="D49" s="92" t="s">
        <v>984</v>
      </c>
      <c r="E49" s="28" t="s">
        <v>110</v>
      </c>
      <c r="F49" s="358">
        <f>1.25*64.99</f>
        <v>81.237499999999997</v>
      </c>
      <c r="G49" s="325">
        <v>4</v>
      </c>
      <c r="H49" s="325">
        <f t="shared" si="15"/>
        <v>4</v>
      </c>
      <c r="I49" s="37">
        <f t="shared" si="17"/>
        <v>0</v>
      </c>
      <c r="J49" s="37">
        <f t="shared" si="35"/>
        <v>102.2</v>
      </c>
      <c r="K49" s="38">
        <f t="shared" si="16"/>
        <v>408.8</v>
      </c>
      <c r="L49" s="244">
        <f t="shared" si="18"/>
        <v>0</v>
      </c>
      <c r="M49" s="213">
        <f t="shared" si="19"/>
        <v>0</v>
      </c>
      <c r="N49" s="98"/>
      <c r="O49" s="98">
        <f t="shared" si="1"/>
        <v>0</v>
      </c>
      <c r="P49" s="214">
        <f t="shared" si="20"/>
        <v>0</v>
      </c>
      <c r="Q49" s="98"/>
      <c r="R49" s="98">
        <f t="shared" si="2"/>
        <v>0</v>
      </c>
      <c r="S49" s="214">
        <f t="shared" si="21"/>
        <v>0</v>
      </c>
      <c r="T49" s="98"/>
      <c r="U49" s="98">
        <f t="shared" si="3"/>
        <v>0</v>
      </c>
      <c r="V49" s="214">
        <f t="shared" si="22"/>
        <v>0</v>
      </c>
      <c r="W49" s="98"/>
      <c r="X49" s="98">
        <f t="shared" si="4"/>
        <v>0</v>
      </c>
      <c r="Y49" s="214">
        <f t="shared" si="23"/>
        <v>0</v>
      </c>
      <c r="Z49" s="98"/>
      <c r="AA49" s="98">
        <f t="shared" si="5"/>
        <v>0</v>
      </c>
      <c r="AB49" s="214">
        <f t="shared" si="24"/>
        <v>0</v>
      </c>
      <c r="AC49" s="98"/>
      <c r="AD49" s="98">
        <f t="shared" si="6"/>
        <v>0</v>
      </c>
      <c r="AE49" s="214">
        <f t="shared" si="25"/>
        <v>0</v>
      </c>
      <c r="AF49" s="98"/>
      <c r="AG49" s="98">
        <f t="shared" si="7"/>
        <v>0</v>
      </c>
      <c r="AH49" s="214">
        <f t="shared" si="26"/>
        <v>0</v>
      </c>
      <c r="AI49" s="98"/>
      <c r="AJ49" s="98">
        <f t="shared" si="8"/>
        <v>0</v>
      </c>
      <c r="AK49" s="214">
        <f t="shared" si="27"/>
        <v>0</v>
      </c>
      <c r="AL49" s="98"/>
      <c r="AM49" s="98">
        <f t="shared" si="9"/>
        <v>0</v>
      </c>
      <c r="AN49" s="214">
        <f t="shared" si="28"/>
        <v>0</v>
      </c>
      <c r="AO49" s="98"/>
      <c r="AP49" s="98">
        <f t="shared" si="10"/>
        <v>0</v>
      </c>
      <c r="AQ49" s="214">
        <f t="shared" si="29"/>
        <v>0</v>
      </c>
      <c r="AR49" s="98"/>
      <c r="AS49" s="98">
        <f t="shared" si="11"/>
        <v>0</v>
      </c>
      <c r="AT49" s="214">
        <f t="shared" si="30"/>
        <v>0</v>
      </c>
      <c r="AU49" s="98"/>
      <c r="AV49" s="215">
        <f t="shared" si="12"/>
        <v>0</v>
      </c>
      <c r="AW49" s="214">
        <f t="shared" si="31"/>
        <v>0</v>
      </c>
      <c r="AX49" s="98">
        <f t="shared" si="32"/>
        <v>0</v>
      </c>
      <c r="AY49" s="204">
        <f t="shared" si="13"/>
        <v>0</v>
      </c>
      <c r="AZ49" s="214">
        <f t="shared" si="33"/>
        <v>100</v>
      </c>
      <c r="BA49" s="98">
        <f t="shared" si="34"/>
        <v>4</v>
      </c>
      <c r="BB49" s="204">
        <f t="shared" si="14"/>
        <v>408.8</v>
      </c>
    </row>
    <row r="50" spans="1:54" s="218" customFormat="1" ht="28.5" x14ac:dyDescent="0.2">
      <c r="A50" s="324" t="s">
        <v>985</v>
      </c>
      <c r="B50" s="87" t="s">
        <v>104</v>
      </c>
      <c r="C50" s="87" t="s">
        <v>104</v>
      </c>
      <c r="D50" s="92" t="s">
        <v>986</v>
      </c>
      <c r="E50" s="28" t="s">
        <v>110</v>
      </c>
      <c r="F50" s="358">
        <f>1.25*188.74</f>
        <v>235.92500000000001</v>
      </c>
      <c r="G50" s="325">
        <v>4</v>
      </c>
      <c r="H50" s="325">
        <f t="shared" si="15"/>
        <v>4</v>
      </c>
      <c r="I50" s="37">
        <f t="shared" si="17"/>
        <v>0</v>
      </c>
      <c r="J50" s="37">
        <f t="shared" si="35"/>
        <v>296.82</v>
      </c>
      <c r="K50" s="38">
        <f t="shared" si="16"/>
        <v>1187.28</v>
      </c>
      <c r="L50" s="244">
        <f t="shared" si="18"/>
        <v>0</v>
      </c>
      <c r="M50" s="213">
        <f t="shared" si="19"/>
        <v>0</v>
      </c>
      <c r="N50" s="98"/>
      <c r="O50" s="98">
        <f t="shared" si="1"/>
        <v>0</v>
      </c>
      <c r="P50" s="214">
        <f t="shared" si="20"/>
        <v>0</v>
      </c>
      <c r="Q50" s="98"/>
      <c r="R50" s="98">
        <f t="shared" si="2"/>
        <v>0</v>
      </c>
      <c r="S50" s="214">
        <f t="shared" si="21"/>
        <v>0</v>
      </c>
      <c r="T50" s="98"/>
      <c r="U50" s="98">
        <f t="shared" si="3"/>
        <v>0</v>
      </c>
      <c r="V50" s="214">
        <f t="shared" si="22"/>
        <v>0</v>
      </c>
      <c r="W50" s="98"/>
      <c r="X50" s="98">
        <f t="shared" si="4"/>
        <v>0</v>
      </c>
      <c r="Y50" s="214">
        <f t="shared" si="23"/>
        <v>0</v>
      </c>
      <c r="Z50" s="98"/>
      <c r="AA50" s="98">
        <f t="shared" si="5"/>
        <v>0</v>
      </c>
      <c r="AB50" s="214">
        <f t="shared" si="24"/>
        <v>0</v>
      </c>
      <c r="AC50" s="98"/>
      <c r="AD50" s="98">
        <f t="shared" si="6"/>
        <v>0</v>
      </c>
      <c r="AE50" s="214">
        <f t="shared" si="25"/>
        <v>0</v>
      </c>
      <c r="AF50" s="98"/>
      <c r="AG50" s="98">
        <f t="shared" si="7"/>
        <v>0</v>
      </c>
      <c r="AH50" s="214">
        <f t="shared" si="26"/>
        <v>0</v>
      </c>
      <c r="AI50" s="98"/>
      <c r="AJ50" s="98">
        <f t="shared" si="8"/>
        <v>0</v>
      </c>
      <c r="AK50" s="214">
        <f t="shared" si="27"/>
        <v>0</v>
      </c>
      <c r="AL50" s="98"/>
      <c r="AM50" s="98">
        <f t="shared" si="9"/>
        <v>0</v>
      </c>
      <c r="AN50" s="214">
        <f t="shared" si="28"/>
        <v>0</v>
      </c>
      <c r="AO50" s="98"/>
      <c r="AP50" s="98">
        <f t="shared" si="10"/>
        <v>0</v>
      </c>
      <c r="AQ50" s="214">
        <f t="shared" si="29"/>
        <v>0</v>
      </c>
      <c r="AR50" s="98"/>
      <c r="AS50" s="98">
        <f t="shared" si="11"/>
        <v>0</v>
      </c>
      <c r="AT50" s="214">
        <f t="shared" si="30"/>
        <v>0</v>
      </c>
      <c r="AU50" s="98"/>
      <c r="AV50" s="215">
        <f t="shared" si="12"/>
        <v>0</v>
      </c>
      <c r="AW50" s="214">
        <f t="shared" si="31"/>
        <v>0</v>
      </c>
      <c r="AX50" s="98">
        <f t="shared" si="32"/>
        <v>0</v>
      </c>
      <c r="AY50" s="204">
        <f t="shared" si="13"/>
        <v>0</v>
      </c>
      <c r="AZ50" s="214">
        <f t="shared" si="33"/>
        <v>100</v>
      </c>
      <c r="BA50" s="98">
        <f t="shared" si="34"/>
        <v>4</v>
      </c>
      <c r="BB50" s="204">
        <f t="shared" si="14"/>
        <v>1187.28</v>
      </c>
    </row>
    <row r="51" spans="1:54" s="218" customFormat="1" ht="28.5" x14ac:dyDescent="0.2">
      <c r="A51" s="324" t="s">
        <v>987</v>
      </c>
      <c r="B51" s="87" t="s">
        <v>104</v>
      </c>
      <c r="C51" s="87" t="s">
        <v>104</v>
      </c>
      <c r="D51" s="92" t="s">
        <v>988</v>
      </c>
      <c r="E51" s="28" t="s">
        <v>110</v>
      </c>
      <c r="F51" s="358">
        <f>1.25*1129.75</f>
        <v>1412.1875</v>
      </c>
      <c r="G51" s="325">
        <v>1</v>
      </c>
      <c r="H51" s="325">
        <f t="shared" si="15"/>
        <v>1</v>
      </c>
      <c r="I51" s="37">
        <f t="shared" si="17"/>
        <v>0</v>
      </c>
      <c r="J51" s="37">
        <f t="shared" si="35"/>
        <v>1776.67</v>
      </c>
      <c r="K51" s="38">
        <f t="shared" si="16"/>
        <v>1776.67</v>
      </c>
      <c r="L51" s="244">
        <f t="shared" si="18"/>
        <v>0</v>
      </c>
      <c r="M51" s="213">
        <f t="shared" si="19"/>
        <v>0</v>
      </c>
      <c r="N51" s="98"/>
      <c r="O51" s="98">
        <f t="shared" si="1"/>
        <v>0</v>
      </c>
      <c r="P51" s="214">
        <f t="shared" si="20"/>
        <v>0</v>
      </c>
      <c r="Q51" s="98"/>
      <c r="R51" s="98">
        <f t="shared" si="2"/>
        <v>0</v>
      </c>
      <c r="S51" s="214">
        <f t="shared" si="21"/>
        <v>0</v>
      </c>
      <c r="T51" s="98"/>
      <c r="U51" s="98">
        <f t="shared" si="3"/>
        <v>0</v>
      </c>
      <c r="V51" s="214">
        <f t="shared" si="22"/>
        <v>0</v>
      </c>
      <c r="W51" s="98"/>
      <c r="X51" s="98">
        <f t="shared" si="4"/>
        <v>0</v>
      </c>
      <c r="Y51" s="214">
        <f t="shared" si="23"/>
        <v>0</v>
      </c>
      <c r="Z51" s="98"/>
      <c r="AA51" s="98">
        <f t="shared" si="5"/>
        <v>0</v>
      </c>
      <c r="AB51" s="214">
        <f t="shared" si="24"/>
        <v>0</v>
      </c>
      <c r="AC51" s="98"/>
      <c r="AD51" s="98">
        <f t="shared" si="6"/>
        <v>0</v>
      </c>
      <c r="AE51" s="214">
        <f t="shared" si="25"/>
        <v>0</v>
      </c>
      <c r="AF51" s="98"/>
      <c r="AG51" s="98">
        <f t="shared" si="7"/>
        <v>0</v>
      </c>
      <c r="AH51" s="214">
        <f t="shared" si="26"/>
        <v>0</v>
      </c>
      <c r="AI51" s="98"/>
      <c r="AJ51" s="98">
        <f t="shared" si="8"/>
        <v>0</v>
      </c>
      <c r="AK51" s="214">
        <f t="shared" si="27"/>
        <v>0</v>
      </c>
      <c r="AL51" s="98"/>
      <c r="AM51" s="98">
        <f t="shared" si="9"/>
        <v>0</v>
      </c>
      <c r="AN51" s="214">
        <f t="shared" si="28"/>
        <v>0</v>
      </c>
      <c r="AO51" s="98"/>
      <c r="AP51" s="98">
        <f t="shared" si="10"/>
        <v>0</v>
      </c>
      <c r="AQ51" s="214">
        <f t="shared" si="29"/>
        <v>0</v>
      </c>
      <c r="AR51" s="98"/>
      <c r="AS51" s="98">
        <f t="shared" si="11"/>
        <v>0</v>
      </c>
      <c r="AT51" s="214">
        <f t="shared" si="30"/>
        <v>0</v>
      </c>
      <c r="AU51" s="98"/>
      <c r="AV51" s="215">
        <f t="shared" si="12"/>
        <v>0</v>
      </c>
      <c r="AW51" s="214">
        <f t="shared" si="31"/>
        <v>0</v>
      </c>
      <c r="AX51" s="98">
        <f t="shared" si="32"/>
        <v>0</v>
      </c>
      <c r="AY51" s="204">
        <f t="shared" si="13"/>
        <v>0</v>
      </c>
      <c r="AZ51" s="214">
        <f t="shared" si="33"/>
        <v>100</v>
      </c>
      <c r="BA51" s="98">
        <f t="shared" si="34"/>
        <v>1</v>
      </c>
      <c r="BB51" s="204">
        <f t="shared" si="14"/>
        <v>1776.67</v>
      </c>
    </row>
    <row r="52" spans="1:54" s="218" customFormat="1" x14ac:dyDescent="0.2">
      <c r="A52" s="324" t="s">
        <v>989</v>
      </c>
      <c r="B52" s="28" t="s">
        <v>990</v>
      </c>
      <c r="C52" s="28" t="s">
        <v>991</v>
      </c>
      <c r="D52" s="58" t="s">
        <v>992</v>
      </c>
      <c r="E52" s="28" t="s">
        <v>275</v>
      </c>
      <c r="F52" s="410">
        <v>2.97</v>
      </c>
      <c r="G52" s="325">
        <v>165</v>
      </c>
      <c r="H52" s="325">
        <f t="shared" si="15"/>
        <v>165</v>
      </c>
      <c r="I52" s="37">
        <f t="shared" si="17"/>
        <v>0</v>
      </c>
      <c r="J52" s="37">
        <f t="shared" si="35"/>
        <v>3.74</v>
      </c>
      <c r="K52" s="38">
        <f t="shared" si="16"/>
        <v>617.1</v>
      </c>
      <c r="L52" s="244">
        <f t="shared" si="18"/>
        <v>0</v>
      </c>
      <c r="M52" s="213">
        <f t="shared" si="19"/>
        <v>0</v>
      </c>
      <c r="N52" s="98"/>
      <c r="O52" s="98">
        <f t="shared" si="1"/>
        <v>0</v>
      </c>
      <c r="P52" s="214">
        <f t="shared" si="20"/>
        <v>0</v>
      </c>
      <c r="Q52" s="98"/>
      <c r="R52" s="98">
        <f t="shared" si="2"/>
        <v>0</v>
      </c>
      <c r="S52" s="214">
        <f t="shared" si="21"/>
        <v>0</v>
      </c>
      <c r="T52" s="98"/>
      <c r="U52" s="98">
        <f t="shared" si="3"/>
        <v>0</v>
      </c>
      <c r="V52" s="214">
        <f t="shared" si="22"/>
        <v>0</v>
      </c>
      <c r="W52" s="98"/>
      <c r="X52" s="98">
        <f t="shared" si="4"/>
        <v>0</v>
      </c>
      <c r="Y52" s="214">
        <f t="shared" si="23"/>
        <v>0</v>
      </c>
      <c r="Z52" s="98"/>
      <c r="AA52" s="98">
        <f t="shared" si="5"/>
        <v>0</v>
      </c>
      <c r="AB52" s="214">
        <f t="shared" si="24"/>
        <v>0</v>
      </c>
      <c r="AC52" s="98"/>
      <c r="AD52" s="98">
        <f t="shared" si="6"/>
        <v>0</v>
      </c>
      <c r="AE52" s="214">
        <f t="shared" si="25"/>
        <v>0</v>
      </c>
      <c r="AF52" s="98"/>
      <c r="AG52" s="98">
        <f t="shared" si="7"/>
        <v>0</v>
      </c>
      <c r="AH52" s="214">
        <f t="shared" si="26"/>
        <v>0</v>
      </c>
      <c r="AI52" s="98"/>
      <c r="AJ52" s="98">
        <f t="shared" si="8"/>
        <v>0</v>
      </c>
      <c r="AK52" s="214">
        <f t="shared" si="27"/>
        <v>0</v>
      </c>
      <c r="AL52" s="98"/>
      <c r="AM52" s="98">
        <f t="shared" si="9"/>
        <v>0</v>
      </c>
      <c r="AN52" s="214">
        <f t="shared" si="28"/>
        <v>0</v>
      </c>
      <c r="AO52" s="98"/>
      <c r="AP52" s="98">
        <f t="shared" si="10"/>
        <v>0</v>
      </c>
      <c r="AQ52" s="214">
        <f t="shared" si="29"/>
        <v>0</v>
      </c>
      <c r="AR52" s="98"/>
      <c r="AS52" s="98">
        <f t="shared" si="11"/>
        <v>0</v>
      </c>
      <c r="AT52" s="214">
        <f t="shared" si="30"/>
        <v>0</v>
      </c>
      <c r="AU52" s="98"/>
      <c r="AV52" s="215">
        <f t="shared" si="12"/>
        <v>0</v>
      </c>
      <c r="AW52" s="214">
        <f t="shared" si="31"/>
        <v>0</v>
      </c>
      <c r="AX52" s="98">
        <f t="shared" si="32"/>
        <v>0</v>
      </c>
      <c r="AY52" s="204">
        <f t="shared" si="13"/>
        <v>0</v>
      </c>
      <c r="AZ52" s="214">
        <f t="shared" si="33"/>
        <v>100</v>
      </c>
      <c r="BA52" s="98">
        <f t="shared" si="34"/>
        <v>165</v>
      </c>
      <c r="BB52" s="204">
        <f t="shared" si="14"/>
        <v>617.1</v>
      </c>
    </row>
    <row r="53" spans="1:54" s="218" customFormat="1" x14ac:dyDescent="0.2">
      <c r="A53" s="324" t="s">
        <v>993</v>
      </c>
      <c r="B53" s="28" t="s">
        <v>994</v>
      </c>
      <c r="C53" s="28" t="s">
        <v>995</v>
      </c>
      <c r="D53" s="58" t="s">
        <v>996</v>
      </c>
      <c r="E53" s="28" t="s">
        <v>275</v>
      </c>
      <c r="F53" s="410">
        <v>3.27</v>
      </c>
      <c r="G53" s="325">
        <v>21</v>
      </c>
      <c r="H53" s="325">
        <f t="shared" si="15"/>
        <v>21</v>
      </c>
      <c r="I53" s="37">
        <f t="shared" si="17"/>
        <v>0</v>
      </c>
      <c r="J53" s="37">
        <f t="shared" si="35"/>
        <v>4.1100000000000003</v>
      </c>
      <c r="K53" s="38">
        <f t="shared" si="16"/>
        <v>86.31</v>
      </c>
      <c r="L53" s="244">
        <f t="shared" si="18"/>
        <v>0</v>
      </c>
      <c r="M53" s="213">
        <f t="shared" si="19"/>
        <v>0</v>
      </c>
      <c r="N53" s="98"/>
      <c r="O53" s="98">
        <f t="shared" si="1"/>
        <v>0</v>
      </c>
      <c r="P53" s="214">
        <f t="shared" si="20"/>
        <v>0</v>
      </c>
      <c r="Q53" s="98"/>
      <c r="R53" s="98">
        <f t="shared" si="2"/>
        <v>0</v>
      </c>
      <c r="S53" s="214">
        <f t="shared" si="21"/>
        <v>0</v>
      </c>
      <c r="T53" s="98"/>
      <c r="U53" s="98">
        <f t="shared" si="3"/>
        <v>0</v>
      </c>
      <c r="V53" s="214">
        <f t="shared" si="22"/>
        <v>0</v>
      </c>
      <c r="W53" s="98"/>
      <c r="X53" s="98">
        <f t="shared" si="4"/>
        <v>0</v>
      </c>
      <c r="Y53" s="214">
        <f t="shared" si="23"/>
        <v>0</v>
      </c>
      <c r="Z53" s="98"/>
      <c r="AA53" s="98">
        <f t="shared" si="5"/>
        <v>0</v>
      </c>
      <c r="AB53" s="214">
        <f t="shared" si="24"/>
        <v>0</v>
      </c>
      <c r="AC53" s="98"/>
      <c r="AD53" s="98">
        <f t="shared" si="6"/>
        <v>0</v>
      </c>
      <c r="AE53" s="214">
        <f t="shared" si="25"/>
        <v>0</v>
      </c>
      <c r="AF53" s="98"/>
      <c r="AG53" s="98">
        <f t="shared" si="7"/>
        <v>0</v>
      </c>
      <c r="AH53" s="214">
        <f t="shared" si="26"/>
        <v>0</v>
      </c>
      <c r="AI53" s="98"/>
      <c r="AJ53" s="98">
        <f t="shared" si="8"/>
        <v>0</v>
      </c>
      <c r="AK53" s="214">
        <f t="shared" si="27"/>
        <v>0</v>
      </c>
      <c r="AL53" s="98"/>
      <c r="AM53" s="98">
        <f t="shared" si="9"/>
        <v>0</v>
      </c>
      <c r="AN53" s="214">
        <f t="shared" si="28"/>
        <v>0</v>
      </c>
      <c r="AO53" s="98"/>
      <c r="AP53" s="98">
        <f t="shared" si="10"/>
        <v>0</v>
      </c>
      <c r="AQ53" s="214">
        <f t="shared" si="29"/>
        <v>0</v>
      </c>
      <c r="AR53" s="98"/>
      <c r="AS53" s="98">
        <f t="shared" si="11"/>
        <v>0</v>
      </c>
      <c r="AT53" s="214">
        <f t="shared" si="30"/>
        <v>0</v>
      </c>
      <c r="AU53" s="98"/>
      <c r="AV53" s="215">
        <f t="shared" si="12"/>
        <v>0</v>
      </c>
      <c r="AW53" s="214">
        <f t="shared" si="31"/>
        <v>0</v>
      </c>
      <c r="AX53" s="98">
        <f t="shared" si="32"/>
        <v>0</v>
      </c>
      <c r="AY53" s="204">
        <f t="shared" si="13"/>
        <v>0</v>
      </c>
      <c r="AZ53" s="214">
        <f t="shared" si="33"/>
        <v>100</v>
      </c>
      <c r="BA53" s="98">
        <f t="shared" si="34"/>
        <v>21</v>
      </c>
      <c r="BB53" s="204">
        <f t="shared" si="14"/>
        <v>86.31</v>
      </c>
    </row>
    <row r="54" spans="1:54" s="218" customFormat="1" ht="28.5" x14ac:dyDescent="0.2">
      <c r="A54" s="324" t="s">
        <v>997</v>
      </c>
      <c r="B54" s="87" t="s">
        <v>104</v>
      </c>
      <c r="C54" s="87" t="s">
        <v>104</v>
      </c>
      <c r="D54" s="92" t="s">
        <v>998</v>
      </c>
      <c r="E54" s="28" t="s">
        <v>424</v>
      </c>
      <c r="F54" s="358">
        <f>1.25*3.25</f>
        <v>4.0625</v>
      </c>
      <c r="G54" s="325">
        <v>186</v>
      </c>
      <c r="H54" s="325">
        <f t="shared" si="15"/>
        <v>186</v>
      </c>
      <c r="I54" s="37">
        <f t="shared" si="17"/>
        <v>0</v>
      </c>
      <c r="J54" s="37">
        <f t="shared" si="35"/>
        <v>5.1100000000000003</v>
      </c>
      <c r="K54" s="38">
        <f t="shared" si="16"/>
        <v>950.46</v>
      </c>
      <c r="L54" s="244">
        <f t="shared" si="18"/>
        <v>0</v>
      </c>
      <c r="M54" s="213">
        <f t="shared" si="19"/>
        <v>0</v>
      </c>
      <c r="N54" s="98"/>
      <c r="O54" s="98">
        <f t="shared" si="1"/>
        <v>0</v>
      </c>
      <c r="P54" s="214">
        <f t="shared" si="20"/>
        <v>0</v>
      </c>
      <c r="Q54" s="98"/>
      <c r="R54" s="98">
        <f t="shared" si="2"/>
        <v>0</v>
      </c>
      <c r="S54" s="214">
        <f t="shared" si="21"/>
        <v>0</v>
      </c>
      <c r="T54" s="98"/>
      <c r="U54" s="98">
        <f t="shared" si="3"/>
        <v>0</v>
      </c>
      <c r="V54" s="214">
        <f t="shared" si="22"/>
        <v>0</v>
      </c>
      <c r="W54" s="98"/>
      <c r="X54" s="98">
        <f t="shared" si="4"/>
        <v>0</v>
      </c>
      <c r="Y54" s="214">
        <f t="shared" si="23"/>
        <v>0</v>
      </c>
      <c r="Z54" s="98"/>
      <c r="AA54" s="98">
        <f t="shared" si="5"/>
        <v>0</v>
      </c>
      <c r="AB54" s="214">
        <f t="shared" si="24"/>
        <v>0</v>
      </c>
      <c r="AC54" s="98"/>
      <c r="AD54" s="98">
        <f t="shared" si="6"/>
        <v>0</v>
      </c>
      <c r="AE54" s="214">
        <f t="shared" si="25"/>
        <v>0</v>
      </c>
      <c r="AF54" s="98"/>
      <c r="AG54" s="98">
        <f t="shared" si="7"/>
        <v>0</v>
      </c>
      <c r="AH54" s="214">
        <f t="shared" si="26"/>
        <v>0</v>
      </c>
      <c r="AI54" s="98"/>
      <c r="AJ54" s="98">
        <f t="shared" si="8"/>
        <v>0</v>
      </c>
      <c r="AK54" s="214">
        <f t="shared" si="27"/>
        <v>0</v>
      </c>
      <c r="AL54" s="98"/>
      <c r="AM54" s="98">
        <f t="shared" si="9"/>
        <v>0</v>
      </c>
      <c r="AN54" s="214">
        <f t="shared" si="28"/>
        <v>0</v>
      </c>
      <c r="AO54" s="98"/>
      <c r="AP54" s="98">
        <f t="shared" si="10"/>
        <v>0</v>
      </c>
      <c r="AQ54" s="214">
        <f t="shared" si="29"/>
        <v>0</v>
      </c>
      <c r="AR54" s="98"/>
      <c r="AS54" s="98">
        <f t="shared" si="11"/>
        <v>0</v>
      </c>
      <c r="AT54" s="214">
        <f t="shared" si="30"/>
        <v>0</v>
      </c>
      <c r="AU54" s="98"/>
      <c r="AV54" s="215">
        <f t="shared" si="12"/>
        <v>0</v>
      </c>
      <c r="AW54" s="214">
        <f t="shared" si="31"/>
        <v>0</v>
      </c>
      <c r="AX54" s="98">
        <f t="shared" si="32"/>
        <v>0</v>
      </c>
      <c r="AY54" s="204">
        <f t="shared" si="13"/>
        <v>0</v>
      </c>
      <c r="AZ54" s="214">
        <f t="shared" si="33"/>
        <v>100</v>
      </c>
      <c r="BA54" s="98">
        <f t="shared" si="34"/>
        <v>186</v>
      </c>
      <c r="BB54" s="204">
        <f t="shared" si="14"/>
        <v>950.46</v>
      </c>
    </row>
    <row r="55" spans="1:54" s="218" customFormat="1" x14ac:dyDescent="0.2">
      <c r="A55" s="324" t="s">
        <v>999</v>
      </c>
      <c r="B55" s="87" t="s">
        <v>104</v>
      </c>
      <c r="C55" s="87" t="s">
        <v>104</v>
      </c>
      <c r="D55" s="50" t="s">
        <v>1000</v>
      </c>
      <c r="E55" s="28" t="s">
        <v>424</v>
      </c>
      <c r="F55" s="359">
        <f>1.25*3.35</f>
        <v>4.1875</v>
      </c>
      <c r="G55" s="325">
        <v>99</v>
      </c>
      <c r="H55" s="325">
        <f t="shared" si="15"/>
        <v>99</v>
      </c>
      <c r="I55" s="37">
        <f t="shared" si="17"/>
        <v>0</v>
      </c>
      <c r="J55" s="37">
        <f t="shared" si="35"/>
        <v>5.27</v>
      </c>
      <c r="K55" s="38">
        <f t="shared" si="16"/>
        <v>521.73</v>
      </c>
      <c r="L55" s="244">
        <f t="shared" si="18"/>
        <v>0</v>
      </c>
      <c r="M55" s="213">
        <f t="shared" si="19"/>
        <v>0</v>
      </c>
      <c r="N55" s="98"/>
      <c r="O55" s="98">
        <f t="shared" si="1"/>
        <v>0</v>
      </c>
      <c r="P55" s="214">
        <f t="shared" si="20"/>
        <v>0</v>
      </c>
      <c r="Q55" s="98"/>
      <c r="R55" s="98">
        <f t="shared" si="2"/>
        <v>0</v>
      </c>
      <c r="S55" s="214">
        <f t="shared" si="21"/>
        <v>0</v>
      </c>
      <c r="T55" s="98"/>
      <c r="U55" s="98">
        <f t="shared" si="3"/>
        <v>0</v>
      </c>
      <c r="V55" s="214">
        <f t="shared" si="22"/>
        <v>0</v>
      </c>
      <c r="W55" s="98"/>
      <c r="X55" s="98">
        <f t="shared" si="4"/>
        <v>0</v>
      </c>
      <c r="Y55" s="214">
        <f t="shared" si="23"/>
        <v>0</v>
      </c>
      <c r="Z55" s="98"/>
      <c r="AA55" s="98">
        <f t="shared" si="5"/>
        <v>0</v>
      </c>
      <c r="AB55" s="214">
        <f t="shared" si="24"/>
        <v>0</v>
      </c>
      <c r="AC55" s="98"/>
      <c r="AD55" s="98">
        <f t="shared" si="6"/>
        <v>0</v>
      </c>
      <c r="AE55" s="214">
        <f t="shared" si="25"/>
        <v>0</v>
      </c>
      <c r="AF55" s="98"/>
      <c r="AG55" s="98">
        <f t="shared" si="7"/>
        <v>0</v>
      </c>
      <c r="AH55" s="214">
        <f t="shared" si="26"/>
        <v>0</v>
      </c>
      <c r="AI55" s="98"/>
      <c r="AJ55" s="98">
        <f t="shared" si="8"/>
        <v>0</v>
      </c>
      <c r="AK55" s="214">
        <f t="shared" si="27"/>
        <v>0</v>
      </c>
      <c r="AL55" s="98"/>
      <c r="AM55" s="98">
        <f t="shared" si="9"/>
        <v>0</v>
      </c>
      <c r="AN55" s="214">
        <f t="shared" si="28"/>
        <v>0</v>
      </c>
      <c r="AO55" s="98"/>
      <c r="AP55" s="98">
        <f t="shared" si="10"/>
        <v>0</v>
      </c>
      <c r="AQ55" s="214">
        <f t="shared" si="29"/>
        <v>0</v>
      </c>
      <c r="AR55" s="98"/>
      <c r="AS55" s="98">
        <f t="shared" si="11"/>
        <v>0</v>
      </c>
      <c r="AT55" s="214">
        <f t="shared" si="30"/>
        <v>0</v>
      </c>
      <c r="AU55" s="98"/>
      <c r="AV55" s="215">
        <f t="shared" si="12"/>
        <v>0</v>
      </c>
      <c r="AW55" s="214">
        <f t="shared" si="31"/>
        <v>0</v>
      </c>
      <c r="AX55" s="98">
        <f t="shared" si="32"/>
        <v>0</v>
      </c>
      <c r="AY55" s="204">
        <f t="shared" si="13"/>
        <v>0</v>
      </c>
      <c r="AZ55" s="214">
        <f t="shared" si="33"/>
        <v>100</v>
      </c>
      <c r="BA55" s="98">
        <f t="shared" si="34"/>
        <v>99</v>
      </c>
      <c r="BB55" s="204">
        <f t="shared" si="14"/>
        <v>521.73</v>
      </c>
    </row>
    <row r="56" spans="1:54" s="218" customFormat="1" x14ac:dyDescent="0.2">
      <c r="A56" s="324" t="s">
        <v>1001</v>
      </c>
      <c r="B56" s="87" t="s">
        <v>104</v>
      </c>
      <c r="C56" s="87" t="s">
        <v>104</v>
      </c>
      <c r="D56" s="50" t="s">
        <v>1002</v>
      </c>
      <c r="E56" s="28" t="s">
        <v>424</v>
      </c>
      <c r="F56" s="359">
        <f>1.25*3.7</f>
        <v>4.625</v>
      </c>
      <c r="G56" s="325">
        <v>28</v>
      </c>
      <c r="H56" s="325">
        <f t="shared" si="15"/>
        <v>28</v>
      </c>
      <c r="I56" s="37">
        <f t="shared" si="17"/>
        <v>0</v>
      </c>
      <c r="J56" s="37">
        <f t="shared" ref="J56:J80" si="36">ROUND((F56*(1+$K$8))*(1+$G$8),2)</f>
        <v>5.82</v>
      </c>
      <c r="K56" s="38">
        <f t="shared" si="16"/>
        <v>162.96</v>
      </c>
      <c r="L56" s="244">
        <f t="shared" si="18"/>
        <v>0</v>
      </c>
      <c r="M56" s="213">
        <f t="shared" si="19"/>
        <v>0</v>
      </c>
      <c r="N56" s="98"/>
      <c r="O56" s="98">
        <f t="shared" si="1"/>
        <v>0</v>
      </c>
      <c r="P56" s="214">
        <f t="shared" si="20"/>
        <v>0</v>
      </c>
      <c r="Q56" s="98"/>
      <c r="R56" s="98">
        <f t="shared" si="2"/>
        <v>0</v>
      </c>
      <c r="S56" s="214">
        <f t="shared" si="21"/>
        <v>0</v>
      </c>
      <c r="T56" s="98"/>
      <c r="U56" s="98">
        <f t="shared" si="3"/>
        <v>0</v>
      </c>
      <c r="V56" s="214">
        <f t="shared" si="22"/>
        <v>0</v>
      </c>
      <c r="W56" s="98"/>
      <c r="X56" s="98">
        <f t="shared" si="4"/>
        <v>0</v>
      </c>
      <c r="Y56" s="214">
        <f t="shared" si="23"/>
        <v>0</v>
      </c>
      <c r="Z56" s="98"/>
      <c r="AA56" s="98">
        <f t="shared" si="5"/>
        <v>0</v>
      </c>
      <c r="AB56" s="214">
        <f t="shared" si="24"/>
        <v>0</v>
      </c>
      <c r="AC56" s="98"/>
      <c r="AD56" s="98">
        <f t="shared" si="6"/>
        <v>0</v>
      </c>
      <c r="AE56" s="214">
        <f t="shared" si="25"/>
        <v>0</v>
      </c>
      <c r="AF56" s="98"/>
      <c r="AG56" s="98">
        <f t="shared" si="7"/>
        <v>0</v>
      </c>
      <c r="AH56" s="214">
        <f t="shared" si="26"/>
        <v>0</v>
      </c>
      <c r="AI56" s="98"/>
      <c r="AJ56" s="98">
        <f t="shared" si="8"/>
        <v>0</v>
      </c>
      <c r="AK56" s="214">
        <f t="shared" si="27"/>
        <v>0</v>
      </c>
      <c r="AL56" s="98"/>
      <c r="AM56" s="98">
        <f t="shared" si="9"/>
        <v>0</v>
      </c>
      <c r="AN56" s="214">
        <f t="shared" si="28"/>
        <v>0</v>
      </c>
      <c r="AO56" s="98"/>
      <c r="AP56" s="98">
        <f t="shared" si="10"/>
        <v>0</v>
      </c>
      <c r="AQ56" s="214">
        <f t="shared" si="29"/>
        <v>0</v>
      </c>
      <c r="AR56" s="98"/>
      <c r="AS56" s="98">
        <f t="shared" si="11"/>
        <v>0</v>
      </c>
      <c r="AT56" s="214">
        <f t="shared" si="30"/>
        <v>0</v>
      </c>
      <c r="AU56" s="98"/>
      <c r="AV56" s="215">
        <f t="shared" si="12"/>
        <v>0</v>
      </c>
      <c r="AW56" s="214">
        <f t="shared" si="31"/>
        <v>0</v>
      </c>
      <c r="AX56" s="98">
        <f t="shared" si="32"/>
        <v>0</v>
      </c>
      <c r="AY56" s="204">
        <f t="shared" si="13"/>
        <v>0</v>
      </c>
      <c r="AZ56" s="214">
        <f t="shared" si="33"/>
        <v>100</v>
      </c>
      <c r="BA56" s="98">
        <f t="shared" si="34"/>
        <v>28</v>
      </c>
      <c r="BB56" s="204">
        <f t="shared" si="14"/>
        <v>162.96</v>
      </c>
    </row>
    <row r="57" spans="1:54" s="218" customFormat="1" x14ac:dyDescent="0.2">
      <c r="A57" s="324" t="s">
        <v>1003</v>
      </c>
      <c r="B57" s="87" t="s">
        <v>104</v>
      </c>
      <c r="C57" s="87" t="s">
        <v>104</v>
      </c>
      <c r="D57" s="50" t="s">
        <v>1004</v>
      </c>
      <c r="E57" s="28" t="s">
        <v>424</v>
      </c>
      <c r="F57" s="360">
        <f>1.25*6.5</f>
        <v>8.125</v>
      </c>
      <c r="G57" s="325">
        <v>54</v>
      </c>
      <c r="H57" s="325">
        <f t="shared" si="15"/>
        <v>54</v>
      </c>
      <c r="I57" s="37">
        <f t="shared" si="17"/>
        <v>0</v>
      </c>
      <c r="J57" s="37">
        <f t="shared" si="36"/>
        <v>10.220000000000001</v>
      </c>
      <c r="K57" s="38">
        <f t="shared" si="16"/>
        <v>551.88</v>
      </c>
      <c r="L57" s="244">
        <f t="shared" si="18"/>
        <v>0</v>
      </c>
      <c r="M57" s="213">
        <f t="shared" si="19"/>
        <v>0</v>
      </c>
      <c r="N57" s="98"/>
      <c r="O57" s="98">
        <f t="shared" si="1"/>
        <v>0</v>
      </c>
      <c r="P57" s="214">
        <f t="shared" si="20"/>
        <v>0</v>
      </c>
      <c r="Q57" s="98"/>
      <c r="R57" s="98">
        <f t="shared" si="2"/>
        <v>0</v>
      </c>
      <c r="S57" s="214">
        <f t="shared" si="21"/>
        <v>0</v>
      </c>
      <c r="T57" s="98"/>
      <c r="U57" s="98">
        <f t="shared" si="3"/>
        <v>0</v>
      </c>
      <c r="V57" s="214">
        <f t="shared" si="22"/>
        <v>0</v>
      </c>
      <c r="W57" s="98"/>
      <c r="X57" s="98">
        <f t="shared" si="4"/>
        <v>0</v>
      </c>
      <c r="Y57" s="214">
        <f t="shared" si="23"/>
        <v>0</v>
      </c>
      <c r="Z57" s="98"/>
      <c r="AA57" s="98">
        <f t="shared" si="5"/>
        <v>0</v>
      </c>
      <c r="AB57" s="214">
        <f t="shared" si="24"/>
        <v>0</v>
      </c>
      <c r="AC57" s="98"/>
      <c r="AD57" s="98">
        <f t="shared" si="6"/>
        <v>0</v>
      </c>
      <c r="AE57" s="214">
        <f t="shared" si="25"/>
        <v>0</v>
      </c>
      <c r="AF57" s="98"/>
      <c r="AG57" s="98">
        <f t="shared" si="7"/>
        <v>0</v>
      </c>
      <c r="AH57" s="214">
        <f t="shared" si="26"/>
        <v>0</v>
      </c>
      <c r="AI57" s="98"/>
      <c r="AJ57" s="98">
        <f t="shared" si="8"/>
        <v>0</v>
      </c>
      <c r="AK57" s="214">
        <f t="shared" si="27"/>
        <v>0</v>
      </c>
      <c r="AL57" s="98"/>
      <c r="AM57" s="98">
        <f t="shared" si="9"/>
        <v>0</v>
      </c>
      <c r="AN57" s="214">
        <f t="shared" si="28"/>
        <v>0</v>
      </c>
      <c r="AO57" s="98"/>
      <c r="AP57" s="98">
        <f t="shared" si="10"/>
        <v>0</v>
      </c>
      <c r="AQ57" s="214">
        <f t="shared" si="29"/>
        <v>0</v>
      </c>
      <c r="AR57" s="98"/>
      <c r="AS57" s="98">
        <f t="shared" si="11"/>
        <v>0</v>
      </c>
      <c r="AT57" s="214">
        <f t="shared" si="30"/>
        <v>0</v>
      </c>
      <c r="AU57" s="98"/>
      <c r="AV57" s="215">
        <f t="shared" si="12"/>
        <v>0</v>
      </c>
      <c r="AW57" s="214">
        <f t="shared" si="31"/>
        <v>0</v>
      </c>
      <c r="AX57" s="98">
        <f t="shared" si="32"/>
        <v>0</v>
      </c>
      <c r="AY57" s="204">
        <f t="shared" si="13"/>
        <v>0</v>
      </c>
      <c r="AZ57" s="214">
        <f t="shared" si="33"/>
        <v>100</v>
      </c>
      <c r="BA57" s="98">
        <f t="shared" si="34"/>
        <v>54</v>
      </c>
      <c r="BB57" s="204">
        <f t="shared" si="14"/>
        <v>551.88</v>
      </c>
    </row>
    <row r="58" spans="1:54" s="218" customFormat="1" x14ac:dyDescent="0.2">
      <c r="A58" s="324" t="s">
        <v>1005</v>
      </c>
      <c r="B58" s="87" t="s">
        <v>104</v>
      </c>
      <c r="C58" s="87" t="s">
        <v>104</v>
      </c>
      <c r="D58" s="50" t="s">
        <v>1006</v>
      </c>
      <c r="E58" s="28" t="s">
        <v>424</v>
      </c>
      <c r="F58" s="360">
        <f>1.25*8.3</f>
        <v>10.375</v>
      </c>
      <c r="G58" s="325">
        <v>42</v>
      </c>
      <c r="H58" s="325">
        <f t="shared" si="15"/>
        <v>42</v>
      </c>
      <c r="I58" s="37">
        <f t="shared" si="17"/>
        <v>0</v>
      </c>
      <c r="J58" s="37">
        <f t="shared" si="36"/>
        <v>13.05</v>
      </c>
      <c r="K58" s="38">
        <f t="shared" si="16"/>
        <v>548.1</v>
      </c>
      <c r="L58" s="244">
        <f t="shared" si="18"/>
        <v>0</v>
      </c>
      <c r="M58" s="213">
        <f t="shared" si="19"/>
        <v>0</v>
      </c>
      <c r="N58" s="98"/>
      <c r="O58" s="98">
        <f t="shared" si="1"/>
        <v>0</v>
      </c>
      <c r="P58" s="214">
        <f t="shared" si="20"/>
        <v>0</v>
      </c>
      <c r="Q58" s="98"/>
      <c r="R58" s="98">
        <f t="shared" si="2"/>
        <v>0</v>
      </c>
      <c r="S58" s="214">
        <f t="shared" si="21"/>
        <v>0</v>
      </c>
      <c r="T58" s="98"/>
      <c r="U58" s="98">
        <f t="shared" si="3"/>
        <v>0</v>
      </c>
      <c r="V58" s="214">
        <f t="shared" si="22"/>
        <v>0</v>
      </c>
      <c r="W58" s="98"/>
      <c r="X58" s="98">
        <f t="shared" si="4"/>
        <v>0</v>
      </c>
      <c r="Y58" s="214">
        <f t="shared" si="23"/>
        <v>0</v>
      </c>
      <c r="Z58" s="98"/>
      <c r="AA58" s="98">
        <f t="shared" si="5"/>
        <v>0</v>
      </c>
      <c r="AB58" s="214">
        <f t="shared" si="24"/>
        <v>0</v>
      </c>
      <c r="AC58" s="98"/>
      <c r="AD58" s="98">
        <f t="shared" si="6"/>
        <v>0</v>
      </c>
      <c r="AE58" s="214">
        <f t="shared" si="25"/>
        <v>0</v>
      </c>
      <c r="AF58" s="98"/>
      <c r="AG58" s="98">
        <f t="shared" si="7"/>
        <v>0</v>
      </c>
      <c r="AH58" s="214">
        <f t="shared" si="26"/>
        <v>0</v>
      </c>
      <c r="AI58" s="98"/>
      <c r="AJ58" s="98">
        <f t="shared" si="8"/>
        <v>0</v>
      </c>
      <c r="AK58" s="214">
        <f t="shared" si="27"/>
        <v>0</v>
      </c>
      <c r="AL58" s="98"/>
      <c r="AM58" s="98">
        <f t="shared" si="9"/>
        <v>0</v>
      </c>
      <c r="AN58" s="214">
        <f t="shared" si="28"/>
        <v>0</v>
      </c>
      <c r="AO58" s="98"/>
      <c r="AP58" s="98">
        <f t="shared" si="10"/>
        <v>0</v>
      </c>
      <c r="AQ58" s="214">
        <f t="shared" si="29"/>
        <v>0</v>
      </c>
      <c r="AR58" s="98"/>
      <c r="AS58" s="98">
        <f t="shared" si="11"/>
        <v>0</v>
      </c>
      <c r="AT58" s="214">
        <f t="shared" si="30"/>
        <v>0</v>
      </c>
      <c r="AU58" s="98"/>
      <c r="AV58" s="215">
        <f t="shared" si="12"/>
        <v>0</v>
      </c>
      <c r="AW58" s="214">
        <f t="shared" si="31"/>
        <v>0</v>
      </c>
      <c r="AX58" s="98">
        <f t="shared" si="32"/>
        <v>0</v>
      </c>
      <c r="AY58" s="204">
        <f t="shared" si="13"/>
        <v>0</v>
      </c>
      <c r="AZ58" s="214">
        <f t="shared" si="33"/>
        <v>100</v>
      </c>
      <c r="BA58" s="98">
        <f t="shared" si="34"/>
        <v>42</v>
      </c>
      <c r="BB58" s="204">
        <f t="shared" si="14"/>
        <v>548.1</v>
      </c>
    </row>
    <row r="59" spans="1:54" s="218" customFormat="1" x14ac:dyDescent="0.2">
      <c r="A59" s="324" t="s">
        <v>1007</v>
      </c>
      <c r="B59" s="28" t="s">
        <v>174</v>
      </c>
      <c r="C59" s="28" t="s">
        <v>175</v>
      </c>
      <c r="D59" s="58" t="s">
        <v>176</v>
      </c>
      <c r="E59" s="28" t="s">
        <v>119</v>
      </c>
      <c r="F59" s="361">
        <v>20.56</v>
      </c>
      <c r="G59" s="325">
        <f>(91+26+49+30)*0.3*0.6</f>
        <v>35.279999999999994</v>
      </c>
      <c r="H59" s="325">
        <f t="shared" si="15"/>
        <v>35.279999999999994</v>
      </c>
      <c r="I59" s="37">
        <f t="shared" si="17"/>
        <v>0</v>
      </c>
      <c r="J59" s="37">
        <f t="shared" si="36"/>
        <v>25.87</v>
      </c>
      <c r="K59" s="38">
        <f t="shared" si="16"/>
        <v>912.69</v>
      </c>
      <c r="L59" s="244">
        <f t="shared" si="18"/>
        <v>0</v>
      </c>
      <c r="M59" s="213">
        <f t="shared" si="19"/>
        <v>0</v>
      </c>
      <c r="N59" s="98"/>
      <c r="O59" s="98">
        <f t="shared" si="1"/>
        <v>0</v>
      </c>
      <c r="P59" s="214">
        <f t="shared" si="20"/>
        <v>0</v>
      </c>
      <c r="Q59" s="98"/>
      <c r="R59" s="98">
        <f t="shared" si="2"/>
        <v>0</v>
      </c>
      <c r="S59" s="214">
        <f t="shared" si="21"/>
        <v>0</v>
      </c>
      <c r="T59" s="98"/>
      <c r="U59" s="98">
        <f t="shared" si="3"/>
        <v>0</v>
      </c>
      <c r="V59" s="214">
        <f t="shared" si="22"/>
        <v>0</v>
      </c>
      <c r="W59" s="98"/>
      <c r="X59" s="98">
        <f t="shared" si="4"/>
        <v>0</v>
      </c>
      <c r="Y59" s="214">
        <f t="shared" si="23"/>
        <v>0</v>
      </c>
      <c r="Z59" s="98"/>
      <c r="AA59" s="98">
        <f t="shared" si="5"/>
        <v>0</v>
      </c>
      <c r="AB59" s="214">
        <f t="shared" si="24"/>
        <v>0</v>
      </c>
      <c r="AC59" s="98"/>
      <c r="AD59" s="98">
        <f t="shared" si="6"/>
        <v>0</v>
      </c>
      <c r="AE59" s="214">
        <f t="shared" si="25"/>
        <v>0</v>
      </c>
      <c r="AF59" s="98"/>
      <c r="AG59" s="98">
        <f t="shared" si="7"/>
        <v>0</v>
      </c>
      <c r="AH59" s="214">
        <f t="shared" si="26"/>
        <v>0</v>
      </c>
      <c r="AI59" s="98"/>
      <c r="AJ59" s="98">
        <f t="shared" si="8"/>
        <v>0</v>
      </c>
      <c r="AK59" s="214">
        <f t="shared" si="27"/>
        <v>0</v>
      </c>
      <c r="AL59" s="98"/>
      <c r="AM59" s="98">
        <f t="shared" si="9"/>
        <v>0</v>
      </c>
      <c r="AN59" s="214">
        <f t="shared" si="28"/>
        <v>0</v>
      </c>
      <c r="AO59" s="98"/>
      <c r="AP59" s="98">
        <f t="shared" si="10"/>
        <v>0</v>
      </c>
      <c r="AQ59" s="214">
        <f t="shared" si="29"/>
        <v>0</v>
      </c>
      <c r="AR59" s="98"/>
      <c r="AS59" s="98">
        <f t="shared" si="11"/>
        <v>0</v>
      </c>
      <c r="AT59" s="214">
        <f t="shared" si="30"/>
        <v>0</v>
      </c>
      <c r="AU59" s="98"/>
      <c r="AV59" s="215">
        <f t="shared" si="12"/>
        <v>0</v>
      </c>
      <c r="AW59" s="214">
        <f t="shared" si="31"/>
        <v>0</v>
      </c>
      <c r="AX59" s="98">
        <f t="shared" si="32"/>
        <v>0</v>
      </c>
      <c r="AY59" s="204">
        <f t="shared" si="13"/>
        <v>0</v>
      </c>
      <c r="AZ59" s="214">
        <f t="shared" si="33"/>
        <v>100</v>
      </c>
      <c r="BA59" s="98">
        <f t="shared" si="34"/>
        <v>35.279999999999994</v>
      </c>
      <c r="BB59" s="204">
        <f t="shared" si="14"/>
        <v>912.69</v>
      </c>
    </row>
    <row r="60" spans="1:54" s="218" customFormat="1" ht="28.5" x14ac:dyDescent="0.2">
      <c r="A60" s="324" t="s">
        <v>1008</v>
      </c>
      <c r="B60" s="87" t="s">
        <v>104</v>
      </c>
      <c r="C60" s="87" t="s">
        <v>104</v>
      </c>
      <c r="D60" s="96" t="s">
        <v>1009</v>
      </c>
      <c r="E60" s="28" t="s">
        <v>110</v>
      </c>
      <c r="F60" s="360">
        <f>1.25*29</f>
        <v>36.25</v>
      </c>
      <c r="G60" s="325">
        <v>2</v>
      </c>
      <c r="H60" s="325">
        <f t="shared" si="15"/>
        <v>2</v>
      </c>
      <c r="I60" s="37">
        <f t="shared" si="17"/>
        <v>0</v>
      </c>
      <c r="J60" s="37">
        <f t="shared" si="36"/>
        <v>45.61</v>
      </c>
      <c r="K60" s="38">
        <f t="shared" si="16"/>
        <v>91.22</v>
      </c>
      <c r="L60" s="244">
        <f t="shared" si="18"/>
        <v>0</v>
      </c>
      <c r="M60" s="213">
        <f t="shared" si="19"/>
        <v>0</v>
      </c>
      <c r="N60" s="98"/>
      <c r="O60" s="98">
        <f t="shared" si="1"/>
        <v>0</v>
      </c>
      <c r="P60" s="214">
        <f t="shared" si="20"/>
        <v>0</v>
      </c>
      <c r="Q60" s="98"/>
      <c r="R60" s="98">
        <f t="shared" si="2"/>
        <v>0</v>
      </c>
      <c r="S60" s="214">
        <f t="shared" si="21"/>
        <v>0</v>
      </c>
      <c r="T60" s="98"/>
      <c r="U60" s="98">
        <f t="shared" si="3"/>
        <v>0</v>
      </c>
      <c r="V60" s="214">
        <f t="shared" si="22"/>
        <v>0</v>
      </c>
      <c r="W60" s="98"/>
      <c r="X60" s="98">
        <f t="shared" si="4"/>
        <v>0</v>
      </c>
      <c r="Y60" s="214">
        <f t="shared" si="23"/>
        <v>0</v>
      </c>
      <c r="Z60" s="98"/>
      <c r="AA60" s="98">
        <f t="shared" si="5"/>
        <v>0</v>
      </c>
      <c r="AB60" s="214">
        <f t="shared" si="24"/>
        <v>0</v>
      </c>
      <c r="AC60" s="98"/>
      <c r="AD60" s="98">
        <f t="shared" si="6"/>
        <v>0</v>
      </c>
      <c r="AE60" s="214">
        <f t="shared" si="25"/>
        <v>0</v>
      </c>
      <c r="AF60" s="98"/>
      <c r="AG60" s="98">
        <f t="shared" si="7"/>
        <v>0</v>
      </c>
      <c r="AH60" s="214">
        <f t="shared" si="26"/>
        <v>0</v>
      </c>
      <c r="AI60" s="98"/>
      <c r="AJ60" s="98">
        <f t="shared" si="8"/>
        <v>0</v>
      </c>
      <c r="AK60" s="214">
        <f t="shared" si="27"/>
        <v>0</v>
      </c>
      <c r="AL60" s="98"/>
      <c r="AM60" s="98">
        <f t="shared" si="9"/>
        <v>0</v>
      </c>
      <c r="AN60" s="214">
        <f t="shared" si="28"/>
        <v>0</v>
      </c>
      <c r="AO60" s="98"/>
      <c r="AP60" s="98">
        <f t="shared" si="10"/>
        <v>0</v>
      </c>
      <c r="AQ60" s="214">
        <f t="shared" si="29"/>
        <v>0</v>
      </c>
      <c r="AR60" s="98"/>
      <c r="AS60" s="98">
        <f t="shared" si="11"/>
        <v>0</v>
      </c>
      <c r="AT60" s="214">
        <f t="shared" si="30"/>
        <v>0</v>
      </c>
      <c r="AU60" s="98"/>
      <c r="AV60" s="215">
        <f t="shared" si="12"/>
        <v>0</v>
      </c>
      <c r="AW60" s="214">
        <f t="shared" si="31"/>
        <v>0</v>
      </c>
      <c r="AX60" s="98">
        <f t="shared" si="32"/>
        <v>0</v>
      </c>
      <c r="AY60" s="204">
        <f t="shared" si="13"/>
        <v>0</v>
      </c>
      <c r="AZ60" s="214">
        <f t="shared" si="33"/>
        <v>100</v>
      </c>
      <c r="BA60" s="98">
        <f t="shared" si="34"/>
        <v>2</v>
      </c>
      <c r="BB60" s="204">
        <f t="shared" si="14"/>
        <v>91.22</v>
      </c>
    </row>
    <row r="61" spans="1:54" s="218" customFormat="1" ht="28.5" x14ac:dyDescent="0.2">
      <c r="A61" s="324" t="s">
        <v>1010</v>
      </c>
      <c r="B61" s="87" t="s">
        <v>104</v>
      </c>
      <c r="C61" s="87" t="s">
        <v>104</v>
      </c>
      <c r="D61" s="96" t="s">
        <v>1011</v>
      </c>
      <c r="E61" s="28" t="s">
        <v>110</v>
      </c>
      <c r="F61" s="360">
        <f>1.25*26.5</f>
        <v>33.125</v>
      </c>
      <c r="G61" s="325">
        <v>7</v>
      </c>
      <c r="H61" s="325">
        <f t="shared" si="15"/>
        <v>7</v>
      </c>
      <c r="I61" s="37">
        <f t="shared" si="17"/>
        <v>0</v>
      </c>
      <c r="J61" s="37">
        <f t="shared" si="36"/>
        <v>41.67</v>
      </c>
      <c r="K61" s="38">
        <f t="shared" si="16"/>
        <v>291.69</v>
      </c>
      <c r="L61" s="244">
        <f t="shared" si="18"/>
        <v>0</v>
      </c>
      <c r="M61" s="213">
        <f t="shared" si="19"/>
        <v>0</v>
      </c>
      <c r="N61" s="98"/>
      <c r="O61" s="98">
        <f t="shared" si="1"/>
        <v>0</v>
      </c>
      <c r="P61" s="214">
        <f t="shared" si="20"/>
        <v>0</v>
      </c>
      <c r="Q61" s="98"/>
      <c r="R61" s="98">
        <f t="shared" si="2"/>
        <v>0</v>
      </c>
      <c r="S61" s="214">
        <f t="shared" si="21"/>
        <v>0</v>
      </c>
      <c r="T61" s="98"/>
      <c r="U61" s="98">
        <f t="shared" si="3"/>
        <v>0</v>
      </c>
      <c r="V61" s="214">
        <f t="shared" si="22"/>
        <v>0</v>
      </c>
      <c r="W61" s="98"/>
      <c r="X61" s="98">
        <f t="shared" si="4"/>
        <v>0</v>
      </c>
      <c r="Y61" s="214">
        <f t="shared" si="23"/>
        <v>0</v>
      </c>
      <c r="Z61" s="98"/>
      <c r="AA61" s="98">
        <f t="shared" si="5"/>
        <v>0</v>
      </c>
      <c r="AB61" s="214">
        <f t="shared" si="24"/>
        <v>0</v>
      </c>
      <c r="AC61" s="98"/>
      <c r="AD61" s="98">
        <f t="shared" si="6"/>
        <v>0</v>
      </c>
      <c r="AE61" s="214">
        <f t="shared" si="25"/>
        <v>0</v>
      </c>
      <c r="AF61" s="98"/>
      <c r="AG61" s="98">
        <f t="shared" si="7"/>
        <v>0</v>
      </c>
      <c r="AH61" s="214">
        <f t="shared" si="26"/>
        <v>0</v>
      </c>
      <c r="AI61" s="98"/>
      <c r="AJ61" s="98">
        <f t="shared" si="8"/>
        <v>0</v>
      </c>
      <c r="AK61" s="214">
        <f t="shared" si="27"/>
        <v>0</v>
      </c>
      <c r="AL61" s="98"/>
      <c r="AM61" s="98">
        <f t="shared" si="9"/>
        <v>0</v>
      </c>
      <c r="AN61" s="214">
        <f t="shared" si="28"/>
        <v>0</v>
      </c>
      <c r="AO61" s="98"/>
      <c r="AP61" s="98">
        <f t="shared" si="10"/>
        <v>0</v>
      </c>
      <c r="AQ61" s="214">
        <f t="shared" si="29"/>
        <v>0</v>
      </c>
      <c r="AR61" s="98"/>
      <c r="AS61" s="98">
        <f t="shared" si="11"/>
        <v>0</v>
      </c>
      <c r="AT61" s="214">
        <f t="shared" si="30"/>
        <v>0</v>
      </c>
      <c r="AU61" s="98"/>
      <c r="AV61" s="215">
        <f t="shared" si="12"/>
        <v>0</v>
      </c>
      <c r="AW61" s="214">
        <f t="shared" si="31"/>
        <v>0</v>
      </c>
      <c r="AX61" s="98">
        <f t="shared" si="32"/>
        <v>0</v>
      </c>
      <c r="AY61" s="204">
        <f t="shared" si="13"/>
        <v>0</v>
      </c>
      <c r="AZ61" s="214">
        <f t="shared" si="33"/>
        <v>100</v>
      </c>
      <c r="BA61" s="98">
        <f t="shared" si="34"/>
        <v>7</v>
      </c>
      <c r="BB61" s="204">
        <f t="shared" si="14"/>
        <v>291.69</v>
      </c>
    </row>
    <row r="62" spans="1:54" s="218" customFormat="1" x14ac:dyDescent="0.2">
      <c r="A62" s="324" t="s">
        <v>1012</v>
      </c>
      <c r="B62" s="87" t="s">
        <v>104</v>
      </c>
      <c r="C62" s="87" t="s">
        <v>104</v>
      </c>
      <c r="D62" s="92" t="s">
        <v>1013</v>
      </c>
      <c r="E62" s="28" t="s">
        <v>110</v>
      </c>
      <c r="F62" s="358">
        <f>1.25*16.98</f>
        <v>21.225000000000001</v>
      </c>
      <c r="G62" s="325">
        <v>7</v>
      </c>
      <c r="H62" s="325">
        <f t="shared" si="15"/>
        <v>7</v>
      </c>
      <c r="I62" s="37">
        <f t="shared" si="17"/>
        <v>0</v>
      </c>
      <c r="J62" s="37">
        <f t="shared" si="36"/>
        <v>26.7</v>
      </c>
      <c r="K62" s="38">
        <f t="shared" si="16"/>
        <v>186.9</v>
      </c>
      <c r="L62" s="244">
        <f t="shared" si="18"/>
        <v>0</v>
      </c>
      <c r="M62" s="213">
        <f t="shared" si="19"/>
        <v>0</v>
      </c>
      <c r="N62" s="98"/>
      <c r="O62" s="98">
        <f t="shared" si="1"/>
        <v>0</v>
      </c>
      <c r="P62" s="214">
        <f t="shared" si="20"/>
        <v>0</v>
      </c>
      <c r="Q62" s="98"/>
      <c r="R62" s="98">
        <f t="shared" si="2"/>
        <v>0</v>
      </c>
      <c r="S62" s="214">
        <f t="shared" si="21"/>
        <v>0</v>
      </c>
      <c r="T62" s="98"/>
      <c r="U62" s="98">
        <f t="shared" si="3"/>
        <v>0</v>
      </c>
      <c r="V62" s="214">
        <f t="shared" si="22"/>
        <v>0</v>
      </c>
      <c r="W62" s="98"/>
      <c r="X62" s="98">
        <f t="shared" si="4"/>
        <v>0</v>
      </c>
      <c r="Y62" s="214">
        <f t="shared" si="23"/>
        <v>0</v>
      </c>
      <c r="Z62" s="98"/>
      <c r="AA62" s="98">
        <f t="shared" si="5"/>
        <v>0</v>
      </c>
      <c r="AB62" s="214">
        <f t="shared" si="24"/>
        <v>0</v>
      </c>
      <c r="AC62" s="98"/>
      <c r="AD62" s="98">
        <f t="shared" si="6"/>
        <v>0</v>
      </c>
      <c r="AE62" s="214">
        <f t="shared" si="25"/>
        <v>0</v>
      </c>
      <c r="AF62" s="98"/>
      <c r="AG62" s="98">
        <f t="shared" si="7"/>
        <v>0</v>
      </c>
      <c r="AH62" s="214">
        <f t="shared" si="26"/>
        <v>0</v>
      </c>
      <c r="AI62" s="98"/>
      <c r="AJ62" s="98">
        <f t="shared" si="8"/>
        <v>0</v>
      </c>
      <c r="AK62" s="214">
        <f t="shared" si="27"/>
        <v>0</v>
      </c>
      <c r="AL62" s="98"/>
      <c r="AM62" s="98">
        <f t="shared" si="9"/>
        <v>0</v>
      </c>
      <c r="AN62" s="214">
        <f t="shared" si="28"/>
        <v>0</v>
      </c>
      <c r="AO62" s="98"/>
      <c r="AP62" s="98">
        <f t="shared" si="10"/>
        <v>0</v>
      </c>
      <c r="AQ62" s="214">
        <f t="shared" si="29"/>
        <v>0</v>
      </c>
      <c r="AR62" s="98"/>
      <c r="AS62" s="98">
        <f t="shared" si="11"/>
        <v>0</v>
      </c>
      <c r="AT62" s="214">
        <f t="shared" si="30"/>
        <v>0</v>
      </c>
      <c r="AU62" s="98"/>
      <c r="AV62" s="215">
        <f t="shared" si="12"/>
        <v>0</v>
      </c>
      <c r="AW62" s="214">
        <f t="shared" si="31"/>
        <v>0</v>
      </c>
      <c r="AX62" s="98">
        <f t="shared" si="32"/>
        <v>0</v>
      </c>
      <c r="AY62" s="204">
        <f t="shared" si="13"/>
        <v>0</v>
      </c>
      <c r="AZ62" s="214">
        <f t="shared" si="33"/>
        <v>100</v>
      </c>
      <c r="BA62" s="98">
        <f t="shared" si="34"/>
        <v>7</v>
      </c>
      <c r="BB62" s="204">
        <f t="shared" si="14"/>
        <v>186.9</v>
      </c>
    </row>
    <row r="63" spans="1:54" s="218" customFormat="1" x14ac:dyDescent="0.2">
      <c r="A63" s="324" t="s">
        <v>1014</v>
      </c>
      <c r="B63" s="87" t="s">
        <v>104</v>
      </c>
      <c r="C63" s="87" t="s">
        <v>104</v>
      </c>
      <c r="D63" s="92" t="s">
        <v>1015</v>
      </c>
      <c r="E63" s="28" t="s">
        <v>110</v>
      </c>
      <c r="F63" s="358">
        <f>1.25*43.66</f>
        <v>54.574999999999996</v>
      </c>
      <c r="G63" s="325">
        <v>2</v>
      </c>
      <c r="H63" s="325">
        <f t="shared" si="15"/>
        <v>2</v>
      </c>
      <c r="I63" s="37">
        <f t="shared" si="17"/>
        <v>0</v>
      </c>
      <c r="J63" s="37">
        <f t="shared" si="36"/>
        <v>68.66</v>
      </c>
      <c r="K63" s="38">
        <f t="shared" si="16"/>
        <v>137.32</v>
      </c>
      <c r="L63" s="244">
        <f t="shared" si="18"/>
        <v>0</v>
      </c>
      <c r="M63" s="213">
        <f t="shared" si="19"/>
        <v>0</v>
      </c>
      <c r="N63" s="98"/>
      <c r="O63" s="98">
        <f t="shared" si="1"/>
        <v>0</v>
      </c>
      <c r="P63" s="214">
        <f t="shared" si="20"/>
        <v>0</v>
      </c>
      <c r="Q63" s="98"/>
      <c r="R63" s="98">
        <f t="shared" si="2"/>
        <v>0</v>
      </c>
      <c r="S63" s="214">
        <f t="shared" si="21"/>
        <v>0</v>
      </c>
      <c r="T63" s="98"/>
      <c r="U63" s="98">
        <f t="shared" si="3"/>
        <v>0</v>
      </c>
      <c r="V63" s="214">
        <f t="shared" si="22"/>
        <v>0</v>
      </c>
      <c r="W63" s="98"/>
      <c r="X63" s="98">
        <f t="shared" si="4"/>
        <v>0</v>
      </c>
      <c r="Y63" s="214">
        <f t="shared" si="23"/>
        <v>0</v>
      </c>
      <c r="Z63" s="98"/>
      <c r="AA63" s="98">
        <f t="shared" si="5"/>
        <v>0</v>
      </c>
      <c r="AB63" s="214">
        <f t="shared" si="24"/>
        <v>0</v>
      </c>
      <c r="AC63" s="98"/>
      <c r="AD63" s="98">
        <f t="shared" si="6"/>
        <v>0</v>
      </c>
      <c r="AE63" s="214">
        <f t="shared" si="25"/>
        <v>0</v>
      </c>
      <c r="AF63" s="98"/>
      <c r="AG63" s="98">
        <f t="shared" si="7"/>
        <v>0</v>
      </c>
      <c r="AH63" s="214">
        <f t="shared" si="26"/>
        <v>0</v>
      </c>
      <c r="AI63" s="98"/>
      <c r="AJ63" s="98">
        <f t="shared" si="8"/>
        <v>0</v>
      </c>
      <c r="AK63" s="214">
        <f t="shared" si="27"/>
        <v>0</v>
      </c>
      <c r="AL63" s="98"/>
      <c r="AM63" s="98">
        <f t="shared" si="9"/>
        <v>0</v>
      </c>
      <c r="AN63" s="214">
        <f t="shared" si="28"/>
        <v>0</v>
      </c>
      <c r="AO63" s="98"/>
      <c r="AP63" s="98">
        <f t="shared" si="10"/>
        <v>0</v>
      </c>
      <c r="AQ63" s="214">
        <f t="shared" si="29"/>
        <v>0</v>
      </c>
      <c r="AR63" s="98"/>
      <c r="AS63" s="98">
        <f t="shared" si="11"/>
        <v>0</v>
      </c>
      <c r="AT63" s="214">
        <f t="shared" si="30"/>
        <v>0</v>
      </c>
      <c r="AU63" s="98"/>
      <c r="AV63" s="215">
        <f t="shared" si="12"/>
        <v>0</v>
      </c>
      <c r="AW63" s="214">
        <f t="shared" si="31"/>
        <v>0</v>
      </c>
      <c r="AX63" s="98">
        <f t="shared" si="32"/>
        <v>0</v>
      </c>
      <c r="AY63" s="204">
        <f t="shared" si="13"/>
        <v>0</v>
      </c>
      <c r="AZ63" s="214">
        <f t="shared" si="33"/>
        <v>100</v>
      </c>
      <c r="BA63" s="98">
        <f t="shared" si="34"/>
        <v>2</v>
      </c>
      <c r="BB63" s="204">
        <f t="shared" si="14"/>
        <v>137.32</v>
      </c>
    </row>
    <row r="64" spans="1:54" s="218" customFormat="1" ht="28.5" x14ac:dyDescent="0.2">
      <c r="A64" s="324" t="s">
        <v>1016</v>
      </c>
      <c r="B64" s="87" t="s">
        <v>104</v>
      </c>
      <c r="C64" s="87" t="s">
        <v>104</v>
      </c>
      <c r="D64" s="96" t="s">
        <v>1017</v>
      </c>
      <c r="E64" s="87" t="s">
        <v>110</v>
      </c>
      <c r="F64" s="359">
        <f>25.9*1.25</f>
        <v>32.375</v>
      </c>
      <c r="G64" s="325">
        <v>6</v>
      </c>
      <c r="H64" s="325">
        <f t="shared" si="15"/>
        <v>6</v>
      </c>
      <c r="I64" s="37">
        <f>H64-G64</f>
        <v>0</v>
      </c>
      <c r="J64" s="37">
        <f t="shared" si="36"/>
        <v>40.729999999999997</v>
      </c>
      <c r="K64" s="38">
        <f>TRUNC(J64*G64,2)</f>
        <v>244.38</v>
      </c>
      <c r="L64" s="244">
        <f>TRUNC(J64*I64,2)</f>
        <v>0</v>
      </c>
      <c r="M64" s="213">
        <f>N64/$H64*100</f>
        <v>0</v>
      </c>
      <c r="N64" s="98"/>
      <c r="O64" s="98">
        <f t="shared" si="1"/>
        <v>0</v>
      </c>
      <c r="P64" s="214">
        <f>Q64/$H64*100</f>
        <v>0</v>
      </c>
      <c r="Q64" s="98"/>
      <c r="R64" s="98">
        <f t="shared" si="2"/>
        <v>0</v>
      </c>
      <c r="S64" s="214">
        <f>T64/$H64*100</f>
        <v>0</v>
      </c>
      <c r="T64" s="98"/>
      <c r="U64" s="98">
        <f t="shared" si="3"/>
        <v>0</v>
      </c>
      <c r="V64" s="214">
        <f>W64/$H64*100</f>
        <v>0</v>
      </c>
      <c r="W64" s="98"/>
      <c r="X64" s="98">
        <f t="shared" si="4"/>
        <v>0</v>
      </c>
      <c r="Y64" s="214">
        <f>Z64/$H64*100</f>
        <v>0</v>
      </c>
      <c r="Z64" s="98"/>
      <c r="AA64" s="98">
        <f t="shared" si="5"/>
        <v>0</v>
      </c>
      <c r="AB64" s="214">
        <f>AC64/$H64*100</f>
        <v>0</v>
      </c>
      <c r="AC64" s="98"/>
      <c r="AD64" s="98">
        <f t="shared" si="6"/>
        <v>0</v>
      </c>
      <c r="AE64" s="214">
        <f>AF64/$H64*100</f>
        <v>0</v>
      </c>
      <c r="AF64" s="98"/>
      <c r="AG64" s="98">
        <f t="shared" si="7"/>
        <v>0</v>
      </c>
      <c r="AH64" s="214">
        <f>AI64/$H64*100</f>
        <v>0</v>
      </c>
      <c r="AI64" s="98"/>
      <c r="AJ64" s="98">
        <f t="shared" si="8"/>
        <v>0</v>
      </c>
      <c r="AK64" s="214">
        <f>AL64/$H64*100</f>
        <v>0</v>
      </c>
      <c r="AL64" s="98"/>
      <c r="AM64" s="98">
        <f t="shared" si="9"/>
        <v>0</v>
      </c>
      <c r="AN64" s="214">
        <f>AO64/$H64*100</f>
        <v>0</v>
      </c>
      <c r="AO64" s="98"/>
      <c r="AP64" s="98">
        <f t="shared" si="10"/>
        <v>0</v>
      </c>
      <c r="AQ64" s="214">
        <f>AR64/$H64*100</f>
        <v>0</v>
      </c>
      <c r="AR64" s="98"/>
      <c r="AS64" s="98">
        <f t="shared" si="11"/>
        <v>0</v>
      </c>
      <c r="AT64" s="214">
        <f>AU64/$H64*100</f>
        <v>0</v>
      </c>
      <c r="AU64" s="98"/>
      <c r="AV64" s="215">
        <f t="shared" si="12"/>
        <v>0</v>
      </c>
      <c r="AW64" s="214">
        <f>AX64/$H64*100</f>
        <v>0</v>
      </c>
      <c r="AX64" s="98">
        <f>Q64+N64+T64+W64+Z64+AC64+AF64+AI64+AL64+AO64+AR64+AU64</f>
        <v>0</v>
      </c>
      <c r="AY64" s="204">
        <f t="shared" si="13"/>
        <v>0</v>
      </c>
      <c r="AZ64" s="214">
        <f>BA64/$H64*100</f>
        <v>100</v>
      </c>
      <c r="BA64" s="98">
        <f>H64-AX64</f>
        <v>6</v>
      </c>
      <c r="BB64" s="204">
        <f t="shared" si="14"/>
        <v>244.38</v>
      </c>
    </row>
    <row r="65" spans="1:54" s="218" customFormat="1" ht="28.5" x14ac:dyDescent="0.2">
      <c r="A65" s="324" t="s">
        <v>1018</v>
      </c>
      <c r="B65" s="28" t="s">
        <v>1019</v>
      </c>
      <c r="C65" s="28" t="s">
        <v>1020</v>
      </c>
      <c r="D65" s="50" t="s">
        <v>1021</v>
      </c>
      <c r="E65" s="28" t="s">
        <v>110</v>
      </c>
      <c r="F65" s="410">
        <v>102.02</v>
      </c>
      <c r="G65" s="325">
        <v>6</v>
      </c>
      <c r="H65" s="325">
        <f t="shared" si="15"/>
        <v>6</v>
      </c>
      <c r="I65" s="37">
        <f t="shared" si="17"/>
        <v>0</v>
      </c>
      <c r="J65" s="37">
        <f t="shared" si="36"/>
        <v>128.35</v>
      </c>
      <c r="K65" s="38">
        <f t="shared" si="16"/>
        <v>770.1</v>
      </c>
      <c r="L65" s="244">
        <f t="shared" si="18"/>
        <v>0</v>
      </c>
      <c r="M65" s="213">
        <f t="shared" si="19"/>
        <v>0</v>
      </c>
      <c r="N65" s="98"/>
      <c r="O65" s="98">
        <f t="shared" si="1"/>
        <v>0</v>
      </c>
      <c r="P65" s="214">
        <f t="shared" si="20"/>
        <v>0</v>
      </c>
      <c r="Q65" s="98"/>
      <c r="R65" s="98">
        <f t="shared" si="2"/>
        <v>0</v>
      </c>
      <c r="S65" s="214">
        <f t="shared" si="21"/>
        <v>0</v>
      </c>
      <c r="T65" s="98"/>
      <c r="U65" s="98">
        <f t="shared" si="3"/>
        <v>0</v>
      </c>
      <c r="V65" s="214">
        <f t="shared" si="22"/>
        <v>0</v>
      </c>
      <c r="W65" s="98"/>
      <c r="X65" s="98">
        <f t="shared" si="4"/>
        <v>0</v>
      </c>
      <c r="Y65" s="214">
        <f t="shared" si="23"/>
        <v>0</v>
      </c>
      <c r="Z65" s="98"/>
      <c r="AA65" s="98">
        <f t="shared" si="5"/>
        <v>0</v>
      </c>
      <c r="AB65" s="214">
        <f t="shared" si="24"/>
        <v>0</v>
      </c>
      <c r="AC65" s="98"/>
      <c r="AD65" s="98">
        <f t="shared" si="6"/>
        <v>0</v>
      </c>
      <c r="AE65" s="214">
        <f t="shared" si="25"/>
        <v>0</v>
      </c>
      <c r="AF65" s="98"/>
      <c r="AG65" s="98">
        <f t="shared" si="7"/>
        <v>0</v>
      </c>
      <c r="AH65" s="214">
        <f t="shared" si="26"/>
        <v>0</v>
      </c>
      <c r="AI65" s="98"/>
      <c r="AJ65" s="98">
        <f t="shared" si="8"/>
        <v>0</v>
      </c>
      <c r="AK65" s="214">
        <f t="shared" si="27"/>
        <v>0</v>
      </c>
      <c r="AL65" s="98"/>
      <c r="AM65" s="98">
        <f t="shared" si="9"/>
        <v>0</v>
      </c>
      <c r="AN65" s="214">
        <f t="shared" si="28"/>
        <v>0</v>
      </c>
      <c r="AO65" s="98"/>
      <c r="AP65" s="98">
        <f t="shared" si="10"/>
        <v>0</v>
      </c>
      <c r="AQ65" s="214">
        <f t="shared" si="29"/>
        <v>0</v>
      </c>
      <c r="AR65" s="98"/>
      <c r="AS65" s="98">
        <f t="shared" si="11"/>
        <v>0</v>
      </c>
      <c r="AT65" s="214">
        <f t="shared" si="30"/>
        <v>0</v>
      </c>
      <c r="AU65" s="98"/>
      <c r="AV65" s="215">
        <f t="shared" si="12"/>
        <v>0</v>
      </c>
      <c r="AW65" s="214">
        <f t="shared" si="31"/>
        <v>0</v>
      </c>
      <c r="AX65" s="98">
        <f t="shared" si="32"/>
        <v>0</v>
      </c>
      <c r="AY65" s="204">
        <f t="shared" si="13"/>
        <v>0</v>
      </c>
      <c r="AZ65" s="214">
        <f t="shared" si="33"/>
        <v>100</v>
      </c>
      <c r="BA65" s="98">
        <f t="shared" si="34"/>
        <v>6</v>
      </c>
      <c r="BB65" s="204">
        <f t="shared" si="14"/>
        <v>770.1</v>
      </c>
    </row>
    <row r="66" spans="1:54" s="218" customFormat="1" ht="28.5" x14ac:dyDescent="0.2">
      <c r="A66" s="324" t="s">
        <v>1022</v>
      </c>
      <c r="B66" s="87" t="s">
        <v>104</v>
      </c>
      <c r="C66" s="87" t="s">
        <v>104</v>
      </c>
      <c r="D66" s="92" t="s">
        <v>1023</v>
      </c>
      <c r="E66" s="28" t="s">
        <v>110</v>
      </c>
      <c r="F66" s="358">
        <f>1.25*58.98</f>
        <v>73.724999999999994</v>
      </c>
      <c r="G66" s="325">
        <v>3</v>
      </c>
      <c r="H66" s="325">
        <f t="shared" si="15"/>
        <v>3</v>
      </c>
      <c r="I66" s="37">
        <f t="shared" si="17"/>
        <v>0</v>
      </c>
      <c r="J66" s="37">
        <f t="shared" si="36"/>
        <v>92.75</v>
      </c>
      <c r="K66" s="38">
        <f t="shared" si="16"/>
        <v>278.25</v>
      </c>
      <c r="L66" s="244">
        <f t="shared" si="18"/>
        <v>0</v>
      </c>
      <c r="M66" s="213">
        <f t="shared" si="19"/>
        <v>0</v>
      </c>
      <c r="N66" s="98"/>
      <c r="O66" s="98">
        <f t="shared" si="1"/>
        <v>0</v>
      </c>
      <c r="P66" s="214">
        <f t="shared" si="20"/>
        <v>0</v>
      </c>
      <c r="Q66" s="98"/>
      <c r="R66" s="98">
        <f t="shared" si="2"/>
        <v>0</v>
      </c>
      <c r="S66" s="214">
        <f t="shared" si="21"/>
        <v>0</v>
      </c>
      <c r="T66" s="98"/>
      <c r="U66" s="98">
        <f t="shared" si="3"/>
        <v>0</v>
      </c>
      <c r="V66" s="214">
        <f t="shared" si="22"/>
        <v>0</v>
      </c>
      <c r="W66" s="98"/>
      <c r="X66" s="98">
        <f t="shared" si="4"/>
        <v>0</v>
      </c>
      <c r="Y66" s="214">
        <f t="shared" si="23"/>
        <v>0</v>
      </c>
      <c r="Z66" s="98"/>
      <c r="AA66" s="98">
        <f t="shared" si="5"/>
        <v>0</v>
      </c>
      <c r="AB66" s="214">
        <f t="shared" si="24"/>
        <v>0</v>
      </c>
      <c r="AC66" s="98"/>
      <c r="AD66" s="98">
        <f t="shared" si="6"/>
        <v>0</v>
      </c>
      <c r="AE66" s="214">
        <f t="shared" si="25"/>
        <v>0</v>
      </c>
      <c r="AF66" s="98"/>
      <c r="AG66" s="98">
        <f t="shared" si="7"/>
        <v>0</v>
      </c>
      <c r="AH66" s="214">
        <f t="shared" si="26"/>
        <v>0</v>
      </c>
      <c r="AI66" s="98"/>
      <c r="AJ66" s="98">
        <f t="shared" si="8"/>
        <v>0</v>
      </c>
      <c r="AK66" s="214">
        <f t="shared" si="27"/>
        <v>0</v>
      </c>
      <c r="AL66" s="98"/>
      <c r="AM66" s="98">
        <f t="shared" si="9"/>
        <v>0</v>
      </c>
      <c r="AN66" s="214">
        <f t="shared" si="28"/>
        <v>0</v>
      </c>
      <c r="AO66" s="98"/>
      <c r="AP66" s="98">
        <f t="shared" si="10"/>
        <v>0</v>
      </c>
      <c r="AQ66" s="214">
        <f t="shared" si="29"/>
        <v>0</v>
      </c>
      <c r="AR66" s="98"/>
      <c r="AS66" s="98">
        <f t="shared" si="11"/>
        <v>0</v>
      </c>
      <c r="AT66" s="214">
        <f t="shared" si="30"/>
        <v>0</v>
      </c>
      <c r="AU66" s="98"/>
      <c r="AV66" s="215">
        <f t="shared" si="12"/>
        <v>0</v>
      </c>
      <c r="AW66" s="214">
        <f t="shared" si="31"/>
        <v>0</v>
      </c>
      <c r="AX66" s="98">
        <f t="shared" si="32"/>
        <v>0</v>
      </c>
      <c r="AY66" s="204">
        <f t="shared" si="13"/>
        <v>0</v>
      </c>
      <c r="AZ66" s="214">
        <f t="shared" si="33"/>
        <v>100</v>
      </c>
      <c r="BA66" s="98">
        <f t="shared" si="34"/>
        <v>3</v>
      </c>
      <c r="BB66" s="204">
        <f t="shared" si="14"/>
        <v>278.25</v>
      </c>
    </row>
    <row r="67" spans="1:54" s="218" customFormat="1" ht="28.5" x14ac:dyDescent="0.2">
      <c r="A67" s="324" t="s">
        <v>1024</v>
      </c>
      <c r="B67" s="87" t="s">
        <v>104</v>
      </c>
      <c r="C67" s="87" t="s">
        <v>104</v>
      </c>
      <c r="D67" s="92" t="s">
        <v>1025</v>
      </c>
      <c r="E67" s="28" t="s">
        <v>110</v>
      </c>
      <c r="F67" s="358">
        <f>1.25*147.04</f>
        <v>183.79999999999998</v>
      </c>
      <c r="G67" s="325">
        <v>1</v>
      </c>
      <c r="H67" s="325">
        <f t="shared" si="15"/>
        <v>1</v>
      </c>
      <c r="I67" s="37">
        <f t="shared" si="17"/>
        <v>0</v>
      </c>
      <c r="J67" s="37">
        <f t="shared" si="36"/>
        <v>231.24</v>
      </c>
      <c r="K67" s="38">
        <f t="shared" si="16"/>
        <v>231.24</v>
      </c>
      <c r="L67" s="244">
        <f t="shared" si="18"/>
        <v>0</v>
      </c>
      <c r="M67" s="213">
        <f t="shared" si="19"/>
        <v>0</v>
      </c>
      <c r="N67" s="98"/>
      <c r="O67" s="98">
        <f t="shared" si="1"/>
        <v>0</v>
      </c>
      <c r="P67" s="214">
        <f t="shared" si="20"/>
        <v>0</v>
      </c>
      <c r="Q67" s="98"/>
      <c r="R67" s="98">
        <f t="shared" si="2"/>
        <v>0</v>
      </c>
      <c r="S67" s="214">
        <f t="shared" si="21"/>
        <v>0</v>
      </c>
      <c r="T67" s="98"/>
      <c r="U67" s="98">
        <f t="shared" si="3"/>
        <v>0</v>
      </c>
      <c r="V67" s="214">
        <f t="shared" si="22"/>
        <v>0</v>
      </c>
      <c r="W67" s="98"/>
      <c r="X67" s="98">
        <f t="shared" si="4"/>
        <v>0</v>
      </c>
      <c r="Y67" s="214">
        <f t="shared" si="23"/>
        <v>0</v>
      </c>
      <c r="Z67" s="98"/>
      <c r="AA67" s="98">
        <f t="shared" si="5"/>
        <v>0</v>
      </c>
      <c r="AB67" s="214">
        <f t="shared" si="24"/>
        <v>0</v>
      </c>
      <c r="AC67" s="98"/>
      <c r="AD67" s="98">
        <f t="shared" si="6"/>
        <v>0</v>
      </c>
      <c r="AE67" s="214">
        <f t="shared" si="25"/>
        <v>0</v>
      </c>
      <c r="AF67" s="98"/>
      <c r="AG67" s="98">
        <f t="shared" si="7"/>
        <v>0</v>
      </c>
      <c r="AH67" s="214">
        <f t="shared" si="26"/>
        <v>0</v>
      </c>
      <c r="AI67" s="98"/>
      <c r="AJ67" s="98">
        <f t="shared" si="8"/>
        <v>0</v>
      </c>
      <c r="AK67" s="214">
        <f t="shared" si="27"/>
        <v>0</v>
      </c>
      <c r="AL67" s="98"/>
      <c r="AM67" s="98">
        <f t="shared" si="9"/>
        <v>0</v>
      </c>
      <c r="AN67" s="214">
        <f t="shared" si="28"/>
        <v>0</v>
      </c>
      <c r="AO67" s="98"/>
      <c r="AP67" s="98">
        <f t="shared" si="10"/>
        <v>0</v>
      </c>
      <c r="AQ67" s="214">
        <f t="shared" si="29"/>
        <v>0</v>
      </c>
      <c r="AR67" s="98"/>
      <c r="AS67" s="98">
        <f t="shared" si="11"/>
        <v>0</v>
      </c>
      <c r="AT67" s="214">
        <f t="shared" si="30"/>
        <v>0</v>
      </c>
      <c r="AU67" s="98"/>
      <c r="AV67" s="215">
        <f t="shared" si="12"/>
        <v>0</v>
      </c>
      <c r="AW67" s="214">
        <f t="shared" si="31"/>
        <v>0</v>
      </c>
      <c r="AX67" s="98">
        <f t="shared" si="32"/>
        <v>0</v>
      </c>
      <c r="AY67" s="204">
        <f t="shared" si="13"/>
        <v>0</v>
      </c>
      <c r="AZ67" s="214">
        <f t="shared" si="33"/>
        <v>100</v>
      </c>
      <c r="BA67" s="98">
        <f t="shared" si="34"/>
        <v>1</v>
      </c>
      <c r="BB67" s="204">
        <f t="shared" si="14"/>
        <v>231.24</v>
      </c>
    </row>
    <row r="68" spans="1:54" s="218" customFormat="1" ht="28.5" x14ac:dyDescent="0.2">
      <c r="A68" s="324" t="s">
        <v>1026</v>
      </c>
      <c r="B68" s="28" t="s">
        <v>1027</v>
      </c>
      <c r="C68" s="28" t="s">
        <v>1028</v>
      </c>
      <c r="D68" s="50" t="s">
        <v>1029</v>
      </c>
      <c r="E68" s="28" t="s">
        <v>110</v>
      </c>
      <c r="F68" s="410">
        <v>290.49</v>
      </c>
      <c r="G68" s="325">
        <v>1</v>
      </c>
      <c r="H68" s="325">
        <f t="shared" si="15"/>
        <v>1</v>
      </c>
      <c r="I68" s="37">
        <f t="shared" si="17"/>
        <v>0</v>
      </c>
      <c r="J68" s="37">
        <f t="shared" si="36"/>
        <v>365.47</v>
      </c>
      <c r="K68" s="38">
        <f t="shared" si="16"/>
        <v>365.47</v>
      </c>
      <c r="L68" s="244">
        <f t="shared" si="18"/>
        <v>0</v>
      </c>
      <c r="M68" s="213">
        <f t="shared" si="19"/>
        <v>0</v>
      </c>
      <c r="N68" s="98"/>
      <c r="O68" s="98">
        <f t="shared" si="1"/>
        <v>0</v>
      </c>
      <c r="P68" s="214">
        <f t="shared" si="20"/>
        <v>0</v>
      </c>
      <c r="Q68" s="98"/>
      <c r="R68" s="98">
        <f t="shared" si="2"/>
        <v>0</v>
      </c>
      <c r="S68" s="214">
        <f t="shared" si="21"/>
        <v>0</v>
      </c>
      <c r="T68" s="98"/>
      <c r="U68" s="98">
        <f t="shared" si="3"/>
        <v>0</v>
      </c>
      <c r="V68" s="214">
        <f t="shared" si="22"/>
        <v>0</v>
      </c>
      <c r="W68" s="98"/>
      <c r="X68" s="98">
        <f t="shared" si="4"/>
        <v>0</v>
      </c>
      <c r="Y68" s="214">
        <f t="shared" si="23"/>
        <v>0</v>
      </c>
      <c r="Z68" s="98"/>
      <c r="AA68" s="98">
        <f t="shared" si="5"/>
        <v>0</v>
      </c>
      <c r="AB68" s="214">
        <f t="shared" si="24"/>
        <v>0</v>
      </c>
      <c r="AC68" s="98"/>
      <c r="AD68" s="98">
        <f t="shared" si="6"/>
        <v>0</v>
      </c>
      <c r="AE68" s="214">
        <f t="shared" si="25"/>
        <v>0</v>
      </c>
      <c r="AF68" s="98"/>
      <c r="AG68" s="98">
        <f t="shared" si="7"/>
        <v>0</v>
      </c>
      <c r="AH68" s="214">
        <f t="shared" si="26"/>
        <v>0</v>
      </c>
      <c r="AI68" s="98"/>
      <c r="AJ68" s="98">
        <f t="shared" si="8"/>
        <v>0</v>
      </c>
      <c r="AK68" s="214">
        <f t="shared" si="27"/>
        <v>0</v>
      </c>
      <c r="AL68" s="98"/>
      <c r="AM68" s="98">
        <f t="shared" si="9"/>
        <v>0</v>
      </c>
      <c r="AN68" s="214">
        <f t="shared" si="28"/>
        <v>0</v>
      </c>
      <c r="AO68" s="98"/>
      <c r="AP68" s="98">
        <f t="shared" si="10"/>
        <v>0</v>
      </c>
      <c r="AQ68" s="214">
        <f t="shared" si="29"/>
        <v>0</v>
      </c>
      <c r="AR68" s="98"/>
      <c r="AS68" s="98">
        <f t="shared" si="11"/>
        <v>0</v>
      </c>
      <c r="AT68" s="214">
        <f t="shared" si="30"/>
        <v>0</v>
      </c>
      <c r="AU68" s="98"/>
      <c r="AV68" s="215">
        <f t="shared" si="12"/>
        <v>0</v>
      </c>
      <c r="AW68" s="214">
        <f t="shared" si="31"/>
        <v>0</v>
      </c>
      <c r="AX68" s="98">
        <f t="shared" si="32"/>
        <v>0</v>
      </c>
      <c r="AY68" s="204">
        <f t="shared" si="13"/>
        <v>0</v>
      </c>
      <c r="AZ68" s="214">
        <f t="shared" si="33"/>
        <v>100</v>
      </c>
      <c r="BA68" s="98">
        <f t="shared" si="34"/>
        <v>1</v>
      </c>
      <c r="BB68" s="204">
        <f t="shared" si="14"/>
        <v>365.47</v>
      </c>
    </row>
    <row r="69" spans="1:54" s="218" customFormat="1" x14ac:dyDescent="0.2">
      <c r="A69" s="324" t="s">
        <v>1030</v>
      </c>
      <c r="B69" s="87" t="s">
        <v>104</v>
      </c>
      <c r="C69" s="87" t="s">
        <v>104</v>
      </c>
      <c r="D69" s="327" t="s">
        <v>1031</v>
      </c>
      <c r="E69" s="28" t="s">
        <v>110</v>
      </c>
      <c r="F69" s="359">
        <f>1.25*452.3</f>
        <v>565.375</v>
      </c>
      <c r="G69" s="325">
        <v>2</v>
      </c>
      <c r="H69" s="325">
        <f t="shared" si="15"/>
        <v>2</v>
      </c>
      <c r="I69" s="37">
        <f t="shared" si="17"/>
        <v>0</v>
      </c>
      <c r="J69" s="37">
        <f t="shared" si="36"/>
        <v>711.3</v>
      </c>
      <c r="K69" s="38">
        <f t="shared" si="16"/>
        <v>1422.6</v>
      </c>
      <c r="L69" s="244">
        <f t="shared" si="18"/>
        <v>0</v>
      </c>
      <c r="M69" s="213">
        <f t="shared" si="19"/>
        <v>0</v>
      </c>
      <c r="N69" s="98"/>
      <c r="O69" s="98">
        <f t="shared" si="1"/>
        <v>0</v>
      </c>
      <c r="P69" s="214">
        <f t="shared" si="20"/>
        <v>0</v>
      </c>
      <c r="Q69" s="98"/>
      <c r="R69" s="98">
        <f t="shared" si="2"/>
        <v>0</v>
      </c>
      <c r="S69" s="214">
        <f t="shared" si="21"/>
        <v>0</v>
      </c>
      <c r="T69" s="98"/>
      <c r="U69" s="98">
        <f t="shared" si="3"/>
        <v>0</v>
      </c>
      <c r="V69" s="214">
        <f t="shared" si="22"/>
        <v>0</v>
      </c>
      <c r="W69" s="98"/>
      <c r="X69" s="98">
        <f t="shared" si="4"/>
        <v>0</v>
      </c>
      <c r="Y69" s="214">
        <f t="shared" si="23"/>
        <v>0</v>
      </c>
      <c r="Z69" s="98"/>
      <c r="AA69" s="98">
        <f t="shared" si="5"/>
        <v>0</v>
      </c>
      <c r="AB69" s="214">
        <f t="shared" si="24"/>
        <v>0</v>
      </c>
      <c r="AC69" s="98"/>
      <c r="AD69" s="98">
        <f t="shared" si="6"/>
        <v>0</v>
      </c>
      <c r="AE69" s="214">
        <f t="shared" si="25"/>
        <v>0</v>
      </c>
      <c r="AF69" s="98"/>
      <c r="AG69" s="98">
        <f t="shared" si="7"/>
        <v>0</v>
      </c>
      <c r="AH69" s="214">
        <f t="shared" si="26"/>
        <v>0</v>
      </c>
      <c r="AI69" s="98"/>
      <c r="AJ69" s="98">
        <f t="shared" si="8"/>
        <v>0</v>
      </c>
      <c r="AK69" s="214">
        <f t="shared" si="27"/>
        <v>0</v>
      </c>
      <c r="AL69" s="98"/>
      <c r="AM69" s="98">
        <f t="shared" si="9"/>
        <v>0</v>
      </c>
      <c r="AN69" s="214">
        <f t="shared" si="28"/>
        <v>0</v>
      </c>
      <c r="AO69" s="98"/>
      <c r="AP69" s="98">
        <f t="shared" si="10"/>
        <v>0</v>
      </c>
      <c r="AQ69" s="214">
        <f t="shared" si="29"/>
        <v>0</v>
      </c>
      <c r="AR69" s="98"/>
      <c r="AS69" s="98">
        <f t="shared" si="11"/>
        <v>0</v>
      </c>
      <c r="AT69" s="214">
        <f t="shared" si="30"/>
        <v>0</v>
      </c>
      <c r="AU69" s="98"/>
      <c r="AV69" s="215">
        <f t="shared" si="12"/>
        <v>0</v>
      </c>
      <c r="AW69" s="214">
        <f t="shared" si="31"/>
        <v>0</v>
      </c>
      <c r="AX69" s="98">
        <f t="shared" si="32"/>
        <v>0</v>
      </c>
      <c r="AY69" s="204">
        <f t="shared" si="13"/>
        <v>0</v>
      </c>
      <c r="AZ69" s="214">
        <f t="shared" si="33"/>
        <v>100</v>
      </c>
      <c r="BA69" s="98">
        <f t="shared" si="34"/>
        <v>2</v>
      </c>
      <c r="BB69" s="204">
        <f t="shared" si="14"/>
        <v>1422.6</v>
      </c>
    </row>
    <row r="70" spans="1:54" s="218" customFormat="1" ht="28.5" x14ac:dyDescent="0.2">
      <c r="A70" s="324" t="s">
        <v>1032</v>
      </c>
      <c r="B70" s="87" t="s">
        <v>104</v>
      </c>
      <c r="C70" s="87" t="s">
        <v>104</v>
      </c>
      <c r="D70" s="96" t="s">
        <v>1033</v>
      </c>
      <c r="E70" s="28" t="s">
        <v>110</v>
      </c>
      <c r="F70" s="360">
        <f>(3800-1600)*1.25</f>
        <v>2750</v>
      </c>
      <c r="G70" s="325">
        <v>1</v>
      </c>
      <c r="H70" s="325">
        <f t="shared" si="15"/>
        <v>1</v>
      </c>
      <c r="I70" s="37">
        <f t="shared" si="17"/>
        <v>0</v>
      </c>
      <c r="J70" s="37">
        <f t="shared" si="36"/>
        <v>3459.78</v>
      </c>
      <c r="K70" s="38">
        <f t="shared" si="16"/>
        <v>3459.78</v>
      </c>
      <c r="L70" s="244">
        <f t="shared" si="18"/>
        <v>0</v>
      </c>
      <c r="M70" s="213">
        <f t="shared" si="19"/>
        <v>0</v>
      </c>
      <c r="N70" s="98"/>
      <c r="O70" s="98">
        <f t="shared" si="1"/>
        <v>0</v>
      </c>
      <c r="P70" s="214">
        <f t="shared" si="20"/>
        <v>0</v>
      </c>
      <c r="Q70" s="98"/>
      <c r="R70" s="98">
        <f t="shared" si="2"/>
        <v>0</v>
      </c>
      <c r="S70" s="214">
        <f t="shared" si="21"/>
        <v>0</v>
      </c>
      <c r="T70" s="98"/>
      <c r="U70" s="98">
        <f t="shared" si="3"/>
        <v>0</v>
      </c>
      <c r="V70" s="214">
        <f t="shared" si="22"/>
        <v>0</v>
      </c>
      <c r="W70" s="98"/>
      <c r="X70" s="98">
        <f t="shared" si="4"/>
        <v>0</v>
      </c>
      <c r="Y70" s="214">
        <f t="shared" si="23"/>
        <v>0</v>
      </c>
      <c r="Z70" s="98"/>
      <c r="AA70" s="98">
        <f t="shared" si="5"/>
        <v>0</v>
      </c>
      <c r="AB70" s="214">
        <f t="shared" si="24"/>
        <v>0</v>
      </c>
      <c r="AC70" s="98"/>
      <c r="AD70" s="98">
        <f t="shared" si="6"/>
        <v>0</v>
      </c>
      <c r="AE70" s="214">
        <f t="shared" si="25"/>
        <v>0</v>
      </c>
      <c r="AF70" s="98"/>
      <c r="AG70" s="98">
        <f t="shared" si="7"/>
        <v>0</v>
      </c>
      <c r="AH70" s="214">
        <f t="shared" si="26"/>
        <v>0</v>
      </c>
      <c r="AI70" s="98"/>
      <c r="AJ70" s="98">
        <f t="shared" si="8"/>
        <v>0</v>
      </c>
      <c r="AK70" s="214">
        <f t="shared" si="27"/>
        <v>0</v>
      </c>
      <c r="AL70" s="98"/>
      <c r="AM70" s="98">
        <f t="shared" si="9"/>
        <v>0</v>
      </c>
      <c r="AN70" s="214">
        <f t="shared" si="28"/>
        <v>0</v>
      </c>
      <c r="AO70" s="98"/>
      <c r="AP70" s="98">
        <f t="shared" si="10"/>
        <v>0</v>
      </c>
      <c r="AQ70" s="214">
        <f t="shared" si="29"/>
        <v>0</v>
      </c>
      <c r="AR70" s="98"/>
      <c r="AS70" s="98">
        <f t="shared" si="11"/>
        <v>0</v>
      </c>
      <c r="AT70" s="214">
        <f t="shared" si="30"/>
        <v>0</v>
      </c>
      <c r="AU70" s="98"/>
      <c r="AV70" s="215">
        <f t="shared" si="12"/>
        <v>0</v>
      </c>
      <c r="AW70" s="214">
        <f t="shared" si="31"/>
        <v>0</v>
      </c>
      <c r="AX70" s="98">
        <f t="shared" si="32"/>
        <v>0</v>
      </c>
      <c r="AY70" s="204">
        <f t="shared" si="13"/>
        <v>0</v>
      </c>
      <c r="AZ70" s="214">
        <f t="shared" si="33"/>
        <v>100</v>
      </c>
      <c r="BA70" s="98">
        <f t="shared" si="34"/>
        <v>1</v>
      </c>
      <c r="BB70" s="204">
        <f t="shared" si="14"/>
        <v>3459.78</v>
      </c>
    </row>
    <row r="71" spans="1:54" s="218" customFormat="1" x14ac:dyDescent="0.2">
      <c r="A71" s="324" t="s">
        <v>1034</v>
      </c>
      <c r="B71" s="87" t="s">
        <v>104</v>
      </c>
      <c r="C71" s="87" t="s">
        <v>104</v>
      </c>
      <c r="D71" s="92" t="s">
        <v>1035</v>
      </c>
      <c r="E71" s="28" t="s">
        <v>110</v>
      </c>
      <c r="F71" s="358">
        <f>1.25*15.33</f>
        <v>19.162500000000001</v>
      </c>
      <c r="G71" s="325">
        <v>7</v>
      </c>
      <c r="H71" s="325">
        <f t="shared" si="15"/>
        <v>7</v>
      </c>
      <c r="I71" s="37">
        <f t="shared" si="17"/>
        <v>0</v>
      </c>
      <c r="J71" s="37">
        <f t="shared" si="36"/>
        <v>24.11</v>
      </c>
      <c r="K71" s="38">
        <f t="shared" si="16"/>
        <v>168.77</v>
      </c>
      <c r="L71" s="244">
        <f t="shared" si="18"/>
        <v>0</v>
      </c>
      <c r="M71" s="213">
        <f t="shared" si="19"/>
        <v>0</v>
      </c>
      <c r="N71" s="98"/>
      <c r="O71" s="98">
        <f t="shared" si="1"/>
        <v>0</v>
      </c>
      <c r="P71" s="214">
        <f t="shared" si="20"/>
        <v>0</v>
      </c>
      <c r="Q71" s="98"/>
      <c r="R71" s="98">
        <f t="shared" si="2"/>
        <v>0</v>
      </c>
      <c r="S71" s="214">
        <f t="shared" si="21"/>
        <v>0</v>
      </c>
      <c r="T71" s="98"/>
      <c r="U71" s="98">
        <f t="shared" si="3"/>
        <v>0</v>
      </c>
      <c r="V71" s="214">
        <f t="shared" si="22"/>
        <v>0</v>
      </c>
      <c r="W71" s="98"/>
      <c r="X71" s="98">
        <f t="shared" si="4"/>
        <v>0</v>
      </c>
      <c r="Y71" s="214">
        <f t="shared" si="23"/>
        <v>0</v>
      </c>
      <c r="Z71" s="98"/>
      <c r="AA71" s="98">
        <f t="shared" si="5"/>
        <v>0</v>
      </c>
      <c r="AB71" s="214">
        <f t="shared" si="24"/>
        <v>0</v>
      </c>
      <c r="AC71" s="98"/>
      <c r="AD71" s="98">
        <f t="shared" si="6"/>
        <v>0</v>
      </c>
      <c r="AE71" s="214">
        <f t="shared" si="25"/>
        <v>0</v>
      </c>
      <c r="AF71" s="98"/>
      <c r="AG71" s="98">
        <f t="shared" si="7"/>
        <v>0</v>
      </c>
      <c r="AH71" s="214">
        <f t="shared" si="26"/>
        <v>0</v>
      </c>
      <c r="AI71" s="98"/>
      <c r="AJ71" s="98">
        <f t="shared" si="8"/>
        <v>0</v>
      </c>
      <c r="AK71" s="214">
        <f t="shared" si="27"/>
        <v>0</v>
      </c>
      <c r="AL71" s="98"/>
      <c r="AM71" s="98">
        <f t="shared" si="9"/>
        <v>0</v>
      </c>
      <c r="AN71" s="214">
        <f t="shared" si="28"/>
        <v>0</v>
      </c>
      <c r="AO71" s="98"/>
      <c r="AP71" s="98">
        <f t="shared" si="10"/>
        <v>0</v>
      </c>
      <c r="AQ71" s="214">
        <f t="shared" si="29"/>
        <v>0</v>
      </c>
      <c r="AR71" s="98"/>
      <c r="AS71" s="98">
        <f t="shared" si="11"/>
        <v>0</v>
      </c>
      <c r="AT71" s="214">
        <f t="shared" si="30"/>
        <v>0</v>
      </c>
      <c r="AU71" s="98"/>
      <c r="AV71" s="215">
        <f t="shared" si="12"/>
        <v>0</v>
      </c>
      <c r="AW71" s="214">
        <f t="shared" si="31"/>
        <v>0</v>
      </c>
      <c r="AX71" s="98">
        <f t="shared" si="32"/>
        <v>0</v>
      </c>
      <c r="AY71" s="204">
        <f t="shared" si="13"/>
        <v>0</v>
      </c>
      <c r="AZ71" s="214">
        <f t="shared" si="33"/>
        <v>100</v>
      </c>
      <c r="BA71" s="98">
        <f t="shared" si="34"/>
        <v>7</v>
      </c>
      <c r="BB71" s="204">
        <f t="shared" si="14"/>
        <v>168.77</v>
      </c>
    </row>
    <row r="72" spans="1:54" s="218" customFormat="1" x14ac:dyDescent="0.2">
      <c r="A72" s="324" t="s">
        <v>1036</v>
      </c>
      <c r="B72" s="87" t="s">
        <v>104</v>
      </c>
      <c r="C72" s="87" t="s">
        <v>104</v>
      </c>
      <c r="D72" s="92" t="s">
        <v>1037</v>
      </c>
      <c r="E72" s="28" t="s">
        <v>110</v>
      </c>
      <c r="F72" s="358">
        <f>1.25*12.48</f>
        <v>15.600000000000001</v>
      </c>
      <c r="G72" s="325">
        <v>2</v>
      </c>
      <c r="H72" s="325">
        <f t="shared" si="15"/>
        <v>2</v>
      </c>
      <c r="I72" s="37">
        <f t="shared" si="17"/>
        <v>0</v>
      </c>
      <c r="J72" s="37">
        <f t="shared" si="36"/>
        <v>19.63</v>
      </c>
      <c r="K72" s="38">
        <f t="shared" si="16"/>
        <v>39.26</v>
      </c>
      <c r="L72" s="244">
        <f t="shared" si="18"/>
        <v>0</v>
      </c>
      <c r="M72" s="213">
        <f t="shared" si="19"/>
        <v>0</v>
      </c>
      <c r="N72" s="98"/>
      <c r="O72" s="98">
        <f t="shared" si="1"/>
        <v>0</v>
      </c>
      <c r="P72" s="214">
        <f t="shared" si="20"/>
        <v>0</v>
      </c>
      <c r="Q72" s="98"/>
      <c r="R72" s="98">
        <f t="shared" si="2"/>
        <v>0</v>
      </c>
      <c r="S72" s="214">
        <f t="shared" si="21"/>
        <v>0</v>
      </c>
      <c r="T72" s="98"/>
      <c r="U72" s="98">
        <f t="shared" si="3"/>
        <v>0</v>
      </c>
      <c r="V72" s="214">
        <f t="shared" si="22"/>
        <v>0</v>
      </c>
      <c r="W72" s="98"/>
      <c r="X72" s="98">
        <f t="shared" si="4"/>
        <v>0</v>
      </c>
      <c r="Y72" s="214">
        <f t="shared" si="23"/>
        <v>0</v>
      </c>
      <c r="Z72" s="98"/>
      <c r="AA72" s="98">
        <f t="shared" si="5"/>
        <v>0</v>
      </c>
      <c r="AB72" s="214">
        <f t="shared" si="24"/>
        <v>0</v>
      </c>
      <c r="AC72" s="98"/>
      <c r="AD72" s="98">
        <f t="shared" si="6"/>
        <v>0</v>
      </c>
      <c r="AE72" s="214">
        <f t="shared" si="25"/>
        <v>0</v>
      </c>
      <c r="AF72" s="98"/>
      <c r="AG72" s="98">
        <f t="shared" si="7"/>
        <v>0</v>
      </c>
      <c r="AH72" s="214">
        <f t="shared" si="26"/>
        <v>0</v>
      </c>
      <c r="AI72" s="98"/>
      <c r="AJ72" s="98">
        <f t="shared" si="8"/>
        <v>0</v>
      </c>
      <c r="AK72" s="214">
        <f t="shared" si="27"/>
        <v>0</v>
      </c>
      <c r="AL72" s="98"/>
      <c r="AM72" s="98">
        <f t="shared" si="9"/>
        <v>0</v>
      </c>
      <c r="AN72" s="214">
        <f t="shared" si="28"/>
        <v>0</v>
      </c>
      <c r="AO72" s="98"/>
      <c r="AP72" s="98">
        <f t="shared" si="10"/>
        <v>0</v>
      </c>
      <c r="AQ72" s="214">
        <f t="shared" si="29"/>
        <v>0</v>
      </c>
      <c r="AR72" s="98"/>
      <c r="AS72" s="98">
        <f t="shared" si="11"/>
        <v>0</v>
      </c>
      <c r="AT72" s="214">
        <f t="shared" si="30"/>
        <v>0</v>
      </c>
      <c r="AU72" s="98"/>
      <c r="AV72" s="215">
        <f t="shared" si="12"/>
        <v>0</v>
      </c>
      <c r="AW72" s="214">
        <f t="shared" si="31"/>
        <v>0</v>
      </c>
      <c r="AX72" s="98">
        <f t="shared" si="32"/>
        <v>0</v>
      </c>
      <c r="AY72" s="204">
        <f t="shared" si="13"/>
        <v>0</v>
      </c>
      <c r="AZ72" s="214">
        <f t="shared" si="33"/>
        <v>100</v>
      </c>
      <c r="BA72" s="98">
        <f t="shared" si="34"/>
        <v>2</v>
      </c>
      <c r="BB72" s="204">
        <f t="shared" si="14"/>
        <v>39.26</v>
      </c>
    </row>
    <row r="73" spans="1:54" s="218" customFormat="1" ht="28.5" x14ac:dyDescent="0.2">
      <c r="A73" s="324" t="s">
        <v>1038</v>
      </c>
      <c r="B73" s="87" t="s">
        <v>104</v>
      </c>
      <c r="C73" s="87" t="s">
        <v>104</v>
      </c>
      <c r="D73" s="33" t="s">
        <v>1039</v>
      </c>
      <c r="E73" s="33" t="s">
        <v>110</v>
      </c>
      <c r="F73" s="358">
        <f>1.25*27.44</f>
        <v>34.300000000000004</v>
      </c>
      <c r="G73" s="326">
        <v>7</v>
      </c>
      <c r="H73" s="325">
        <f t="shared" si="15"/>
        <v>7</v>
      </c>
      <c r="I73" s="37">
        <f t="shared" si="17"/>
        <v>0</v>
      </c>
      <c r="J73" s="37">
        <f t="shared" si="36"/>
        <v>43.15</v>
      </c>
      <c r="K73" s="38">
        <f t="shared" si="16"/>
        <v>302.05</v>
      </c>
      <c r="L73" s="244">
        <f t="shared" si="18"/>
        <v>0</v>
      </c>
      <c r="M73" s="213">
        <f t="shared" si="19"/>
        <v>0</v>
      </c>
      <c r="N73" s="98"/>
      <c r="O73" s="98">
        <f t="shared" si="1"/>
        <v>0</v>
      </c>
      <c r="P73" s="214">
        <f t="shared" si="20"/>
        <v>0</v>
      </c>
      <c r="Q73" s="98"/>
      <c r="R73" s="98">
        <f t="shared" si="2"/>
        <v>0</v>
      </c>
      <c r="S73" s="214">
        <f t="shared" si="21"/>
        <v>0</v>
      </c>
      <c r="T73" s="98"/>
      <c r="U73" s="98">
        <f t="shared" si="3"/>
        <v>0</v>
      </c>
      <c r="V73" s="214">
        <f t="shared" si="22"/>
        <v>0</v>
      </c>
      <c r="W73" s="98"/>
      <c r="X73" s="98">
        <f t="shared" si="4"/>
        <v>0</v>
      </c>
      <c r="Y73" s="214">
        <f t="shared" si="23"/>
        <v>0</v>
      </c>
      <c r="Z73" s="98"/>
      <c r="AA73" s="98">
        <f t="shared" si="5"/>
        <v>0</v>
      </c>
      <c r="AB73" s="214">
        <f t="shared" si="24"/>
        <v>0</v>
      </c>
      <c r="AC73" s="98"/>
      <c r="AD73" s="98">
        <f t="shared" si="6"/>
        <v>0</v>
      </c>
      <c r="AE73" s="214">
        <f t="shared" si="25"/>
        <v>0</v>
      </c>
      <c r="AF73" s="98"/>
      <c r="AG73" s="98">
        <f t="shared" si="7"/>
        <v>0</v>
      </c>
      <c r="AH73" s="214">
        <f t="shared" si="26"/>
        <v>0</v>
      </c>
      <c r="AI73" s="98"/>
      <c r="AJ73" s="98">
        <f t="shared" si="8"/>
        <v>0</v>
      </c>
      <c r="AK73" s="214">
        <f t="shared" si="27"/>
        <v>0</v>
      </c>
      <c r="AL73" s="98"/>
      <c r="AM73" s="98">
        <f t="shared" si="9"/>
        <v>0</v>
      </c>
      <c r="AN73" s="214">
        <f t="shared" si="28"/>
        <v>0</v>
      </c>
      <c r="AO73" s="98"/>
      <c r="AP73" s="98">
        <f t="shared" si="10"/>
        <v>0</v>
      </c>
      <c r="AQ73" s="214">
        <f t="shared" si="29"/>
        <v>0</v>
      </c>
      <c r="AR73" s="98"/>
      <c r="AS73" s="98">
        <f t="shared" si="11"/>
        <v>0</v>
      </c>
      <c r="AT73" s="214">
        <f t="shared" si="30"/>
        <v>0</v>
      </c>
      <c r="AU73" s="98"/>
      <c r="AV73" s="215">
        <f t="shared" si="12"/>
        <v>0</v>
      </c>
      <c r="AW73" s="214">
        <f t="shared" si="31"/>
        <v>0</v>
      </c>
      <c r="AX73" s="98">
        <f t="shared" si="32"/>
        <v>0</v>
      </c>
      <c r="AY73" s="204">
        <f t="shared" si="13"/>
        <v>0</v>
      </c>
      <c r="AZ73" s="214">
        <f t="shared" si="33"/>
        <v>100</v>
      </c>
      <c r="BA73" s="98">
        <f t="shared" si="34"/>
        <v>7</v>
      </c>
      <c r="BB73" s="204">
        <f t="shared" si="14"/>
        <v>302.05</v>
      </c>
    </row>
    <row r="74" spans="1:54" s="218" customFormat="1" x14ac:dyDescent="0.2">
      <c r="A74" s="324" t="s">
        <v>1040</v>
      </c>
      <c r="B74" s="87" t="s">
        <v>104</v>
      </c>
      <c r="C74" s="87" t="s">
        <v>104</v>
      </c>
      <c r="D74" s="327" t="s">
        <v>1041</v>
      </c>
      <c r="E74" s="28" t="s">
        <v>110</v>
      </c>
      <c r="F74" s="359">
        <f>1.25*5.33898</f>
        <v>6.6737250000000001</v>
      </c>
      <c r="G74" s="326">
        <v>54</v>
      </c>
      <c r="H74" s="325">
        <f t="shared" si="15"/>
        <v>54</v>
      </c>
      <c r="I74" s="37">
        <f t="shared" si="17"/>
        <v>0</v>
      </c>
      <c r="J74" s="37">
        <f t="shared" si="36"/>
        <v>8.4</v>
      </c>
      <c r="K74" s="38">
        <f t="shared" si="16"/>
        <v>453.6</v>
      </c>
      <c r="L74" s="244">
        <f t="shared" si="18"/>
        <v>0</v>
      </c>
      <c r="M74" s="213">
        <f t="shared" si="19"/>
        <v>0</v>
      </c>
      <c r="N74" s="98"/>
      <c r="O74" s="98">
        <f t="shared" si="1"/>
        <v>0</v>
      </c>
      <c r="P74" s="214">
        <f t="shared" si="20"/>
        <v>0</v>
      </c>
      <c r="Q74" s="98"/>
      <c r="R74" s="98">
        <f t="shared" si="2"/>
        <v>0</v>
      </c>
      <c r="S74" s="214">
        <f t="shared" si="21"/>
        <v>0</v>
      </c>
      <c r="T74" s="98"/>
      <c r="U74" s="98">
        <f t="shared" si="3"/>
        <v>0</v>
      </c>
      <c r="V74" s="214">
        <f t="shared" si="22"/>
        <v>0</v>
      </c>
      <c r="W74" s="98"/>
      <c r="X74" s="98">
        <f t="shared" si="4"/>
        <v>0</v>
      </c>
      <c r="Y74" s="214">
        <f t="shared" si="23"/>
        <v>0</v>
      </c>
      <c r="Z74" s="98"/>
      <c r="AA74" s="98">
        <f t="shared" si="5"/>
        <v>0</v>
      </c>
      <c r="AB74" s="214">
        <f t="shared" si="24"/>
        <v>0</v>
      </c>
      <c r="AC74" s="98"/>
      <c r="AD74" s="98">
        <f t="shared" si="6"/>
        <v>0</v>
      </c>
      <c r="AE74" s="214">
        <f t="shared" si="25"/>
        <v>0</v>
      </c>
      <c r="AF74" s="98"/>
      <c r="AG74" s="98">
        <f t="shared" si="7"/>
        <v>0</v>
      </c>
      <c r="AH74" s="214">
        <f t="shared" si="26"/>
        <v>0</v>
      </c>
      <c r="AI74" s="98"/>
      <c r="AJ74" s="98">
        <f t="shared" si="8"/>
        <v>0</v>
      </c>
      <c r="AK74" s="214">
        <f t="shared" si="27"/>
        <v>0</v>
      </c>
      <c r="AL74" s="98"/>
      <c r="AM74" s="98">
        <f t="shared" si="9"/>
        <v>0</v>
      </c>
      <c r="AN74" s="214">
        <f t="shared" si="28"/>
        <v>0</v>
      </c>
      <c r="AO74" s="98"/>
      <c r="AP74" s="98">
        <f t="shared" si="10"/>
        <v>0</v>
      </c>
      <c r="AQ74" s="214">
        <f t="shared" si="29"/>
        <v>0</v>
      </c>
      <c r="AR74" s="98"/>
      <c r="AS74" s="98">
        <f t="shared" si="11"/>
        <v>0</v>
      </c>
      <c r="AT74" s="214">
        <f t="shared" si="30"/>
        <v>0</v>
      </c>
      <c r="AU74" s="98"/>
      <c r="AV74" s="215">
        <f t="shared" si="12"/>
        <v>0</v>
      </c>
      <c r="AW74" s="214">
        <f t="shared" si="31"/>
        <v>0</v>
      </c>
      <c r="AX74" s="98">
        <f t="shared" si="32"/>
        <v>0</v>
      </c>
      <c r="AY74" s="204">
        <f t="shared" si="13"/>
        <v>0</v>
      </c>
      <c r="AZ74" s="214">
        <f t="shared" si="33"/>
        <v>100</v>
      </c>
      <c r="BA74" s="98">
        <f t="shared" si="34"/>
        <v>54</v>
      </c>
      <c r="BB74" s="204">
        <f t="shared" si="14"/>
        <v>453.6</v>
      </c>
    </row>
    <row r="75" spans="1:54" s="218" customFormat="1" ht="28.5" x14ac:dyDescent="0.2">
      <c r="A75" s="324" t="s">
        <v>1042</v>
      </c>
      <c r="B75" s="87" t="s">
        <v>104</v>
      </c>
      <c r="C75" s="87" t="s">
        <v>104</v>
      </c>
      <c r="D75" s="92" t="s">
        <v>1043</v>
      </c>
      <c r="E75" s="28" t="s">
        <v>110</v>
      </c>
      <c r="F75" s="357">
        <f>1.25*1.98</f>
        <v>2.4750000000000001</v>
      </c>
      <c r="G75" s="326">
        <v>60</v>
      </c>
      <c r="H75" s="325">
        <f t="shared" si="15"/>
        <v>60</v>
      </c>
      <c r="I75" s="37">
        <f t="shared" si="17"/>
        <v>0</v>
      </c>
      <c r="J75" s="37">
        <f t="shared" si="36"/>
        <v>3.11</v>
      </c>
      <c r="K75" s="38">
        <f t="shared" si="16"/>
        <v>186.6</v>
      </c>
      <c r="L75" s="244">
        <f t="shared" si="18"/>
        <v>0</v>
      </c>
      <c r="M75" s="213">
        <f t="shared" si="19"/>
        <v>0</v>
      </c>
      <c r="N75" s="98"/>
      <c r="O75" s="98">
        <f t="shared" si="1"/>
        <v>0</v>
      </c>
      <c r="P75" s="214">
        <f t="shared" si="20"/>
        <v>0</v>
      </c>
      <c r="Q75" s="98"/>
      <c r="R75" s="98">
        <f t="shared" si="2"/>
        <v>0</v>
      </c>
      <c r="S75" s="214">
        <f t="shared" si="21"/>
        <v>0</v>
      </c>
      <c r="T75" s="98"/>
      <c r="U75" s="98">
        <f t="shared" si="3"/>
        <v>0</v>
      </c>
      <c r="V75" s="214">
        <f t="shared" si="22"/>
        <v>0</v>
      </c>
      <c r="W75" s="98"/>
      <c r="X75" s="98">
        <f t="shared" si="4"/>
        <v>0</v>
      </c>
      <c r="Y75" s="214">
        <f t="shared" si="23"/>
        <v>0</v>
      </c>
      <c r="Z75" s="98"/>
      <c r="AA75" s="98">
        <f t="shared" si="5"/>
        <v>0</v>
      </c>
      <c r="AB75" s="214">
        <f t="shared" si="24"/>
        <v>0</v>
      </c>
      <c r="AC75" s="98"/>
      <c r="AD75" s="98">
        <f t="shared" si="6"/>
        <v>0</v>
      </c>
      <c r="AE75" s="214">
        <f t="shared" si="25"/>
        <v>0</v>
      </c>
      <c r="AF75" s="98"/>
      <c r="AG75" s="98">
        <f t="shared" si="7"/>
        <v>0</v>
      </c>
      <c r="AH75" s="214">
        <f t="shared" si="26"/>
        <v>0</v>
      </c>
      <c r="AI75" s="98"/>
      <c r="AJ75" s="98">
        <f t="shared" si="8"/>
        <v>0</v>
      </c>
      <c r="AK75" s="214">
        <f t="shared" si="27"/>
        <v>0</v>
      </c>
      <c r="AL75" s="98"/>
      <c r="AM75" s="98">
        <f t="shared" si="9"/>
        <v>0</v>
      </c>
      <c r="AN75" s="214">
        <f t="shared" si="28"/>
        <v>0</v>
      </c>
      <c r="AO75" s="98"/>
      <c r="AP75" s="98">
        <f t="shared" si="10"/>
        <v>0</v>
      </c>
      <c r="AQ75" s="214">
        <f t="shared" si="29"/>
        <v>0</v>
      </c>
      <c r="AR75" s="98"/>
      <c r="AS75" s="98">
        <f t="shared" si="11"/>
        <v>0</v>
      </c>
      <c r="AT75" s="214">
        <f t="shared" si="30"/>
        <v>0</v>
      </c>
      <c r="AU75" s="98"/>
      <c r="AV75" s="215">
        <f t="shared" si="12"/>
        <v>0</v>
      </c>
      <c r="AW75" s="214">
        <f t="shared" si="31"/>
        <v>0</v>
      </c>
      <c r="AX75" s="98">
        <f t="shared" si="32"/>
        <v>0</v>
      </c>
      <c r="AY75" s="204">
        <f t="shared" si="13"/>
        <v>0</v>
      </c>
      <c r="AZ75" s="214">
        <f t="shared" si="33"/>
        <v>100</v>
      </c>
      <c r="BA75" s="98">
        <f t="shared" si="34"/>
        <v>60</v>
      </c>
      <c r="BB75" s="204">
        <f t="shared" si="14"/>
        <v>186.6</v>
      </c>
    </row>
    <row r="76" spans="1:54" s="218" customFormat="1" ht="28.5" x14ac:dyDescent="0.2">
      <c r="A76" s="324" t="s">
        <v>1044</v>
      </c>
      <c r="B76" s="87" t="s">
        <v>104</v>
      </c>
      <c r="C76" s="87" t="s">
        <v>104</v>
      </c>
      <c r="D76" s="92" t="s">
        <v>1045</v>
      </c>
      <c r="E76" s="28" t="s">
        <v>110</v>
      </c>
      <c r="F76" s="358">
        <f>1.25*31.13</f>
        <v>38.912500000000001</v>
      </c>
      <c r="G76" s="326">
        <v>28</v>
      </c>
      <c r="H76" s="325">
        <f t="shared" si="15"/>
        <v>28</v>
      </c>
      <c r="I76" s="37">
        <f t="shared" si="17"/>
        <v>0</v>
      </c>
      <c r="J76" s="37">
        <f t="shared" si="36"/>
        <v>48.96</v>
      </c>
      <c r="K76" s="38">
        <f t="shared" si="16"/>
        <v>1370.88</v>
      </c>
      <c r="L76" s="244">
        <f t="shared" si="18"/>
        <v>0</v>
      </c>
      <c r="M76" s="213">
        <f t="shared" si="19"/>
        <v>0</v>
      </c>
      <c r="N76" s="98"/>
      <c r="O76" s="98">
        <f t="shared" si="1"/>
        <v>0</v>
      </c>
      <c r="P76" s="214">
        <f t="shared" si="20"/>
        <v>0</v>
      </c>
      <c r="Q76" s="98"/>
      <c r="R76" s="98">
        <f t="shared" si="2"/>
        <v>0</v>
      </c>
      <c r="S76" s="214">
        <f t="shared" si="21"/>
        <v>0</v>
      </c>
      <c r="T76" s="98"/>
      <c r="U76" s="98">
        <f t="shared" si="3"/>
        <v>0</v>
      </c>
      <c r="V76" s="214">
        <f t="shared" si="22"/>
        <v>0</v>
      </c>
      <c r="W76" s="98"/>
      <c r="X76" s="98">
        <f t="shared" si="4"/>
        <v>0</v>
      </c>
      <c r="Y76" s="214">
        <f t="shared" si="23"/>
        <v>0</v>
      </c>
      <c r="Z76" s="98"/>
      <c r="AA76" s="98">
        <f t="shared" si="5"/>
        <v>0</v>
      </c>
      <c r="AB76" s="214">
        <f t="shared" si="24"/>
        <v>0</v>
      </c>
      <c r="AC76" s="98"/>
      <c r="AD76" s="98">
        <f t="shared" si="6"/>
        <v>0</v>
      </c>
      <c r="AE76" s="214">
        <f t="shared" si="25"/>
        <v>0</v>
      </c>
      <c r="AF76" s="98"/>
      <c r="AG76" s="98">
        <f t="shared" si="7"/>
        <v>0</v>
      </c>
      <c r="AH76" s="214">
        <f t="shared" si="26"/>
        <v>0</v>
      </c>
      <c r="AI76" s="98"/>
      <c r="AJ76" s="98">
        <f t="shared" si="8"/>
        <v>0</v>
      </c>
      <c r="AK76" s="214">
        <f t="shared" si="27"/>
        <v>0</v>
      </c>
      <c r="AL76" s="98"/>
      <c r="AM76" s="98">
        <f t="shared" si="9"/>
        <v>0</v>
      </c>
      <c r="AN76" s="214">
        <f t="shared" si="28"/>
        <v>0</v>
      </c>
      <c r="AO76" s="98"/>
      <c r="AP76" s="98">
        <f t="shared" si="10"/>
        <v>0</v>
      </c>
      <c r="AQ76" s="214">
        <f t="shared" si="29"/>
        <v>0</v>
      </c>
      <c r="AR76" s="98"/>
      <c r="AS76" s="98">
        <f t="shared" si="11"/>
        <v>0</v>
      </c>
      <c r="AT76" s="214">
        <f t="shared" si="30"/>
        <v>0</v>
      </c>
      <c r="AU76" s="98"/>
      <c r="AV76" s="215">
        <f t="shared" si="12"/>
        <v>0</v>
      </c>
      <c r="AW76" s="214">
        <f t="shared" si="31"/>
        <v>0</v>
      </c>
      <c r="AX76" s="98">
        <f t="shared" si="32"/>
        <v>0</v>
      </c>
      <c r="AY76" s="204">
        <f t="shared" si="13"/>
        <v>0</v>
      </c>
      <c r="AZ76" s="214">
        <f t="shared" si="33"/>
        <v>100</v>
      </c>
      <c r="BA76" s="98">
        <f t="shared" si="34"/>
        <v>28</v>
      </c>
      <c r="BB76" s="204">
        <f t="shared" si="14"/>
        <v>1370.88</v>
      </c>
    </row>
    <row r="77" spans="1:54" s="218" customFormat="1" x14ac:dyDescent="0.2">
      <c r="A77" s="324" t="s">
        <v>1046</v>
      </c>
      <c r="B77" s="87" t="s">
        <v>104</v>
      </c>
      <c r="C77" s="87" t="s">
        <v>104</v>
      </c>
      <c r="D77" s="92" t="s">
        <v>1047</v>
      </c>
      <c r="E77" s="28" t="s">
        <v>110</v>
      </c>
      <c r="F77" s="358">
        <f>1.25*1.7</f>
        <v>2.125</v>
      </c>
      <c r="G77" s="326">
        <v>216</v>
      </c>
      <c r="H77" s="325">
        <f t="shared" si="15"/>
        <v>216</v>
      </c>
      <c r="I77" s="37">
        <f t="shared" si="17"/>
        <v>0</v>
      </c>
      <c r="J77" s="37">
        <f t="shared" si="36"/>
        <v>2.67</v>
      </c>
      <c r="K77" s="38">
        <f t="shared" si="16"/>
        <v>576.72</v>
      </c>
      <c r="L77" s="244">
        <f t="shared" si="18"/>
        <v>0</v>
      </c>
      <c r="M77" s="213">
        <f t="shared" si="19"/>
        <v>0</v>
      </c>
      <c r="N77" s="98"/>
      <c r="O77" s="98">
        <f t="shared" ref="O77:O125" si="37">TRUNC(N77*$J77,2)</f>
        <v>0</v>
      </c>
      <c r="P77" s="214">
        <f t="shared" si="20"/>
        <v>0</v>
      </c>
      <c r="Q77" s="98"/>
      <c r="R77" s="98">
        <f t="shared" ref="R77:R125" si="38">TRUNC(Q77*$J77,2)</f>
        <v>0</v>
      </c>
      <c r="S77" s="214">
        <f t="shared" si="21"/>
        <v>0</v>
      </c>
      <c r="T77" s="98"/>
      <c r="U77" s="98">
        <f t="shared" ref="U77:U125" si="39">TRUNC(T77*$J77,2)</f>
        <v>0</v>
      </c>
      <c r="V77" s="214">
        <f t="shared" si="22"/>
        <v>0</v>
      </c>
      <c r="W77" s="98"/>
      <c r="X77" s="98">
        <f t="shared" ref="X77:X125" si="40">TRUNC(W77*$J77,2)</f>
        <v>0</v>
      </c>
      <c r="Y77" s="214">
        <f t="shared" si="23"/>
        <v>0</v>
      </c>
      <c r="Z77" s="98"/>
      <c r="AA77" s="98">
        <f t="shared" ref="AA77:AA125" si="41">TRUNC(Z77*$J77,2)</f>
        <v>0</v>
      </c>
      <c r="AB77" s="214">
        <f t="shared" si="24"/>
        <v>0</v>
      </c>
      <c r="AC77" s="98"/>
      <c r="AD77" s="98">
        <f t="shared" ref="AD77:AD125" si="42">TRUNC(AC77*$J77,2)</f>
        <v>0</v>
      </c>
      <c r="AE77" s="214">
        <f t="shared" si="25"/>
        <v>0</v>
      </c>
      <c r="AF77" s="98"/>
      <c r="AG77" s="98">
        <f t="shared" ref="AG77:AG125" si="43">TRUNC(AF77*$J77,2)</f>
        <v>0</v>
      </c>
      <c r="AH77" s="214">
        <f t="shared" si="26"/>
        <v>0</v>
      </c>
      <c r="AI77" s="98"/>
      <c r="AJ77" s="98">
        <f t="shared" ref="AJ77:AJ125" si="44">TRUNC(AI77*$J77,2)</f>
        <v>0</v>
      </c>
      <c r="AK77" s="214">
        <f t="shared" si="27"/>
        <v>0</v>
      </c>
      <c r="AL77" s="98"/>
      <c r="AM77" s="98">
        <f t="shared" ref="AM77:AM125" si="45">TRUNC(AL77*$J77,2)</f>
        <v>0</v>
      </c>
      <c r="AN77" s="214">
        <f t="shared" si="28"/>
        <v>0</v>
      </c>
      <c r="AO77" s="98"/>
      <c r="AP77" s="98">
        <f t="shared" ref="AP77:AP125" si="46">TRUNC(AO77*$J77,2)</f>
        <v>0</v>
      </c>
      <c r="AQ77" s="214">
        <f t="shared" si="29"/>
        <v>0</v>
      </c>
      <c r="AR77" s="98"/>
      <c r="AS77" s="98">
        <f t="shared" ref="AS77:AS125" si="47">TRUNC(AR77*$J77,2)</f>
        <v>0</v>
      </c>
      <c r="AT77" s="214">
        <f t="shared" si="30"/>
        <v>0</v>
      </c>
      <c r="AU77" s="98"/>
      <c r="AV77" s="215">
        <f t="shared" ref="AV77:AV125" si="48">TRUNC(AU77*$J77,2)</f>
        <v>0</v>
      </c>
      <c r="AW77" s="214">
        <f t="shared" si="31"/>
        <v>0</v>
      </c>
      <c r="AX77" s="98">
        <f t="shared" si="32"/>
        <v>0</v>
      </c>
      <c r="AY77" s="204">
        <f t="shared" ref="AY77:AY125" si="49">TRUNC(AX77*$J77,2)</f>
        <v>0</v>
      </c>
      <c r="AZ77" s="214">
        <f t="shared" si="33"/>
        <v>100</v>
      </c>
      <c r="BA77" s="98">
        <f t="shared" si="34"/>
        <v>216</v>
      </c>
      <c r="BB77" s="204">
        <f t="shared" ref="BB77:BB125" si="50">TRUNC(BA77*$J77,2)</f>
        <v>576.72</v>
      </c>
    </row>
    <row r="78" spans="1:54" s="218" customFormat="1" x14ac:dyDescent="0.2">
      <c r="A78" s="324" t="s">
        <v>1048</v>
      </c>
      <c r="B78" s="87" t="s">
        <v>104</v>
      </c>
      <c r="C78" s="87" t="s">
        <v>104</v>
      </c>
      <c r="D78" s="102" t="s">
        <v>1049</v>
      </c>
      <c r="E78" s="87" t="s">
        <v>110</v>
      </c>
      <c r="F78" s="360">
        <f>1.25*166.75</f>
        <v>208.4375</v>
      </c>
      <c r="G78" s="326">
        <v>2</v>
      </c>
      <c r="H78" s="325">
        <f>G78</f>
        <v>2</v>
      </c>
      <c r="I78" s="37">
        <f t="shared" si="17"/>
        <v>0</v>
      </c>
      <c r="J78" s="37">
        <f t="shared" si="36"/>
        <v>262.24</v>
      </c>
      <c r="K78" s="38">
        <f>TRUNC(J78*G78,2)</f>
        <v>524.48</v>
      </c>
      <c r="L78" s="244">
        <f t="shared" si="18"/>
        <v>0</v>
      </c>
      <c r="M78" s="213">
        <f t="shared" si="19"/>
        <v>0</v>
      </c>
      <c r="N78" s="98"/>
      <c r="O78" s="98">
        <f t="shared" si="37"/>
        <v>0</v>
      </c>
      <c r="P78" s="214">
        <f t="shared" si="20"/>
        <v>0</v>
      </c>
      <c r="Q78" s="98"/>
      <c r="R78" s="98">
        <f t="shared" si="38"/>
        <v>0</v>
      </c>
      <c r="S78" s="214">
        <f t="shared" si="21"/>
        <v>0</v>
      </c>
      <c r="T78" s="98"/>
      <c r="U78" s="98">
        <f t="shared" si="39"/>
        <v>0</v>
      </c>
      <c r="V78" s="214">
        <f t="shared" si="22"/>
        <v>0</v>
      </c>
      <c r="W78" s="98"/>
      <c r="X78" s="98">
        <f t="shared" si="40"/>
        <v>0</v>
      </c>
      <c r="Y78" s="214">
        <f t="shared" si="23"/>
        <v>0</v>
      </c>
      <c r="Z78" s="98"/>
      <c r="AA78" s="98">
        <f t="shared" si="41"/>
        <v>0</v>
      </c>
      <c r="AB78" s="214">
        <f t="shared" si="24"/>
        <v>0</v>
      </c>
      <c r="AC78" s="98"/>
      <c r="AD78" s="98">
        <f t="shared" si="42"/>
        <v>0</v>
      </c>
      <c r="AE78" s="214">
        <f t="shared" si="25"/>
        <v>0</v>
      </c>
      <c r="AF78" s="98"/>
      <c r="AG78" s="98">
        <f t="shared" si="43"/>
        <v>0</v>
      </c>
      <c r="AH78" s="214">
        <f t="shared" si="26"/>
        <v>0</v>
      </c>
      <c r="AI78" s="98"/>
      <c r="AJ78" s="98">
        <f t="shared" si="44"/>
        <v>0</v>
      </c>
      <c r="AK78" s="214">
        <f t="shared" si="27"/>
        <v>0</v>
      </c>
      <c r="AL78" s="98"/>
      <c r="AM78" s="98">
        <f t="shared" si="45"/>
        <v>0</v>
      </c>
      <c r="AN78" s="214">
        <f t="shared" si="28"/>
        <v>0</v>
      </c>
      <c r="AO78" s="98"/>
      <c r="AP78" s="98">
        <f t="shared" si="46"/>
        <v>0</v>
      </c>
      <c r="AQ78" s="214">
        <f t="shared" si="29"/>
        <v>0</v>
      </c>
      <c r="AR78" s="98"/>
      <c r="AS78" s="98">
        <f t="shared" si="47"/>
        <v>0</v>
      </c>
      <c r="AT78" s="214">
        <f t="shared" si="30"/>
        <v>0</v>
      </c>
      <c r="AU78" s="98"/>
      <c r="AV78" s="215">
        <f t="shared" si="48"/>
        <v>0</v>
      </c>
      <c r="AW78" s="214">
        <f t="shared" si="31"/>
        <v>0</v>
      </c>
      <c r="AX78" s="98">
        <f t="shared" si="32"/>
        <v>0</v>
      </c>
      <c r="AY78" s="204">
        <f t="shared" si="49"/>
        <v>0</v>
      </c>
      <c r="AZ78" s="214">
        <f t="shared" si="33"/>
        <v>100</v>
      </c>
      <c r="BA78" s="98">
        <f t="shared" si="34"/>
        <v>2</v>
      </c>
      <c r="BB78" s="204">
        <f t="shared" si="50"/>
        <v>524.48</v>
      </c>
    </row>
    <row r="79" spans="1:54" s="218" customFormat="1" x14ac:dyDescent="0.2">
      <c r="A79" s="324" t="s">
        <v>1050</v>
      </c>
      <c r="B79" s="87" t="s">
        <v>104</v>
      </c>
      <c r="C79" s="87" t="s">
        <v>104</v>
      </c>
      <c r="D79" s="92" t="s">
        <v>1051</v>
      </c>
      <c r="E79" s="28" t="s">
        <v>110</v>
      </c>
      <c r="F79" s="357">
        <f>1.25*13.68</f>
        <v>17.100000000000001</v>
      </c>
      <c r="G79" s="326">
        <v>8</v>
      </c>
      <c r="H79" s="325">
        <f>G79</f>
        <v>8</v>
      </c>
      <c r="I79" s="37">
        <f>H79-G79</f>
        <v>0</v>
      </c>
      <c r="J79" s="37">
        <f t="shared" si="36"/>
        <v>21.51</v>
      </c>
      <c r="K79" s="38">
        <f>TRUNC(J79*G79,2)</f>
        <v>172.08</v>
      </c>
      <c r="L79" s="244">
        <f>TRUNC(J79*I79,2)</f>
        <v>0</v>
      </c>
      <c r="M79" s="213">
        <f>N79/$H79*100</f>
        <v>0</v>
      </c>
      <c r="N79" s="98"/>
      <c r="O79" s="98">
        <f t="shared" si="37"/>
        <v>0</v>
      </c>
      <c r="P79" s="214">
        <f>Q79/$H79*100</f>
        <v>0</v>
      </c>
      <c r="Q79" s="98"/>
      <c r="R79" s="98">
        <f t="shared" si="38"/>
        <v>0</v>
      </c>
      <c r="S79" s="214">
        <f>T79/$H79*100</f>
        <v>0</v>
      </c>
      <c r="T79" s="98"/>
      <c r="U79" s="98">
        <f t="shared" si="39"/>
        <v>0</v>
      </c>
      <c r="V79" s="214">
        <f>W79/$H79*100</f>
        <v>0</v>
      </c>
      <c r="W79" s="98"/>
      <c r="X79" s="98">
        <f t="shared" si="40"/>
        <v>0</v>
      </c>
      <c r="Y79" s="214">
        <f>Z79/$H79*100</f>
        <v>0</v>
      </c>
      <c r="Z79" s="98"/>
      <c r="AA79" s="98">
        <f t="shared" si="41"/>
        <v>0</v>
      </c>
      <c r="AB79" s="214">
        <f>AC79/$H79*100</f>
        <v>0</v>
      </c>
      <c r="AC79" s="98"/>
      <c r="AD79" s="98">
        <f t="shared" si="42"/>
        <v>0</v>
      </c>
      <c r="AE79" s="214">
        <f>AF79/$H79*100</f>
        <v>0</v>
      </c>
      <c r="AF79" s="98"/>
      <c r="AG79" s="98">
        <f t="shared" si="43"/>
        <v>0</v>
      </c>
      <c r="AH79" s="214">
        <f>AI79/$H79*100</f>
        <v>0</v>
      </c>
      <c r="AI79" s="98"/>
      <c r="AJ79" s="98">
        <f t="shared" si="44"/>
        <v>0</v>
      </c>
      <c r="AK79" s="214">
        <f>AL79/$H79*100</f>
        <v>0</v>
      </c>
      <c r="AL79" s="98"/>
      <c r="AM79" s="98">
        <f t="shared" si="45"/>
        <v>0</v>
      </c>
      <c r="AN79" s="214">
        <f>AO79/$H79*100</f>
        <v>0</v>
      </c>
      <c r="AO79" s="98"/>
      <c r="AP79" s="98">
        <f t="shared" si="46"/>
        <v>0</v>
      </c>
      <c r="AQ79" s="214">
        <f>AR79/$H79*100</f>
        <v>0</v>
      </c>
      <c r="AR79" s="98"/>
      <c r="AS79" s="98">
        <f t="shared" si="47"/>
        <v>0</v>
      </c>
      <c r="AT79" s="214">
        <f>AU79/$H79*100</f>
        <v>0</v>
      </c>
      <c r="AU79" s="98"/>
      <c r="AV79" s="215">
        <f t="shared" si="48"/>
        <v>0</v>
      </c>
      <c r="AW79" s="214">
        <f>AX79/$H79*100</f>
        <v>0</v>
      </c>
      <c r="AX79" s="98">
        <f>Q79+N79+T79+W79+Z79+AC79+AF79+AI79+AL79+AO79+AR79+AU79</f>
        <v>0</v>
      </c>
      <c r="AY79" s="204">
        <f t="shared" si="49"/>
        <v>0</v>
      </c>
      <c r="AZ79" s="214">
        <f>BA79/$H79*100</f>
        <v>100</v>
      </c>
      <c r="BA79" s="98">
        <f>H79-AX79</f>
        <v>8</v>
      </c>
      <c r="BB79" s="204">
        <f t="shared" si="50"/>
        <v>172.08</v>
      </c>
    </row>
    <row r="80" spans="1:54" s="218" customFormat="1" ht="28.5" x14ac:dyDescent="0.2">
      <c r="A80" s="324" t="s">
        <v>1052</v>
      </c>
      <c r="B80" s="87" t="s">
        <v>104</v>
      </c>
      <c r="C80" s="87" t="s">
        <v>104</v>
      </c>
      <c r="D80" s="50" t="s">
        <v>1053</v>
      </c>
      <c r="E80" s="28" t="s">
        <v>110</v>
      </c>
      <c r="F80" s="359">
        <f>1.25*2.25</f>
        <v>2.8125</v>
      </c>
      <c r="G80" s="326">
        <v>8</v>
      </c>
      <c r="H80" s="325">
        <f>G80</f>
        <v>8</v>
      </c>
      <c r="I80" s="37">
        <f>H80-G80</f>
        <v>0</v>
      </c>
      <c r="J80" s="37">
        <f t="shared" si="36"/>
        <v>3.54</v>
      </c>
      <c r="K80" s="38">
        <f>TRUNC(J80*G80,2)</f>
        <v>28.32</v>
      </c>
      <c r="L80" s="244">
        <f>TRUNC(J80*I80,2)</f>
        <v>0</v>
      </c>
      <c r="M80" s="213">
        <f>N80/$H80*100</f>
        <v>0</v>
      </c>
      <c r="N80" s="98"/>
      <c r="O80" s="98">
        <f t="shared" si="37"/>
        <v>0</v>
      </c>
      <c r="P80" s="214">
        <f>Q80/$H80*100</f>
        <v>0</v>
      </c>
      <c r="Q80" s="98"/>
      <c r="R80" s="98">
        <f t="shared" si="38"/>
        <v>0</v>
      </c>
      <c r="S80" s="214">
        <f>T80/$H80*100</f>
        <v>0</v>
      </c>
      <c r="T80" s="98"/>
      <c r="U80" s="98">
        <f t="shared" si="39"/>
        <v>0</v>
      </c>
      <c r="V80" s="214">
        <f>W80/$H80*100</f>
        <v>0</v>
      </c>
      <c r="W80" s="98"/>
      <c r="X80" s="98">
        <f t="shared" si="40"/>
        <v>0</v>
      </c>
      <c r="Y80" s="214">
        <f>Z80/$H80*100</f>
        <v>0</v>
      </c>
      <c r="Z80" s="98"/>
      <c r="AA80" s="98">
        <f t="shared" si="41"/>
        <v>0</v>
      </c>
      <c r="AB80" s="214">
        <f>AC80/$H80*100</f>
        <v>0</v>
      </c>
      <c r="AC80" s="98"/>
      <c r="AD80" s="98">
        <f t="shared" si="42"/>
        <v>0</v>
      </c>
      <c r="AE80" s="214">
        <f>AF80/$H80*100</f>
        <v>0</v>
      </c>
      <c r="AF80" s="98"/>
      <c r="AG80" s="98">
        <f t="shared" si="43"/>
        <v>0</v>
      </c>
      <c r="AH80" s="214">
        <f>AI80/$H80*100</f>
        <v>0</v>
      </c>
      <c r="AI80" s="98"/>
      <c r="AJ80" s="98">
        <f t="shared" si="44"/>
        <v>0</v>
      </c>
      <c r="AK80" s="214">
        <f>AL80/$H80*100</f>
        <v>0</v>
      </c>
      <c r="AL80" s="98"/>
      <c r="AM80" s="98">
        <f t="shared" si="45"/>
        <v>0</v>
      </c>
      <c r="AN80" s="214">
        <f>AO80/$H80*100</f>
        <v>0</v>
      </c>
      <c r="AO80" s="98"/>
      <c r="AP80" s="98">
        <f t="shared" si="46"/>
        <v>0</v>
      </c>
      <c r="AQ80" s="214">
        <f>AR80/$H80*100</f>
        <v>0</v>
      </c>
      <c r="AR80" s="98"/>
      <c r="AS80" s="98">
        <f t="shared" si="47"/>
        <v>0</v>
      </c>
      <c r="AT80" s="214">
        <f>AU80/$H80*100</f>
        <v>0</v>
      </c>
      <c r="AU80" s="98"/>
      <c r="AV80" s="215">
        <f t="shared" si="48"/>
        <v>0</v>
      </c>
      <c r="AW80" s="214">
        <f>AX80/$H80*100</f>
        <v>0</v>
      </c>
      <c r="AX80" s="98">
        <f>Q80+N80+T80+W80+Z80+AC80+AF80+AI80+AL80+AO80+AR80+AU80</f>
        <v>0</v>
      </c>
      <c r="AY80" s="204">
        <f t="shared" si="49"/>
        <v>0</v>
      </c>
      <c r="AZ80" s="214">
        <f>BA80/$H80*100</f>
        <v>100</v>
      </c>
      <c r="BA80" s="98">
        <f>H80-AX80</f>
        <v>8</v>
      </c>
      <c r="BB80" s="204">
        <f t="shared" si="50"/>
        <v>28.32</v>
      </c>
    </row>
    <row r="81" spans="1:54" s="3" customFormat="1" ht="15.75" thickBot="1" x14ac:dyDescent="0.25">
      <c r="A81" s="324"/>
      <c r="B81" s="87"/>
      <c r="C81" s="87"/>
      <c r="D81" s="102"/>
      <c r="E81" s="329"/>
      <c r="F81" s="362"/>
      <c r="G81" s="759" t="s">
        <v>125</v>
      </c>
      <c r="H81" s="759"/>
      <c r="I81" s="759"/>
      <c r="J81" s="759"/>
      <c r="K81" s="319">
        <f>SUM(K13:K80)</f>
        <v>120403.61000000003</v>
      </c>
      <c r="L81" s="319">
        <f>SUM(L13:L80)</f>
        <v>0</v>
      </c>
      <c r="M81" s="760" t="s">
        <v>125</v>
      </c>
      <c r="N81" s="759"/>
      <c r="O81" s="319">
        <f>SUM(O13:O80)</f>
        <v>0</v>
      </c>
      <c r="P81" s="759" t="s">
        <v>125</v>
      </c>
      <c r="Q81" s="759"/>
      <c r="R81" s="319">
        <f>SUM(R13:R80)</f>
        <v>0</v>
      </c>
      <c r="S81" s="759" t="s">
        <v>125</v>
      </c>
      <c r="T81" s="759"/>
      <c r="U81" s="319">
        <f>SUM(U13:U80)</f>
        <v>0</v>
      </c>
      <c r="V81" s="759" t="s">
        <v>125</v>
      </c>
      <c r="W81" s="759"/>
      <c r="X81" s="319">
        <f>SUM(X13:X80)</f>
        <v>0</v>
      </c>
      <c r="Y81" s="759" t="s">
        <v>125</v>
      </c>
      <c r="Z81" s="759"/>
      <c r="AA81" s="319">
        <f>SUM(AA13:AA80)</f>
        <v>0</v>
      </c>
      <c r="AB81" s="759" t="s">
        <v>125</v>
      </c>
      <c r="AC81" s="759"/>
      <c r="AD81" s="319">
        <f>SUM(AD13:AD80)</f>
        <v>0</v>
      </c>
      <c r="AE81" s="759" t="s">
        <v>125</v>
      </c>
      <c r="AF81" s="759"/>
      <c r="AG81" s="319">
        <f>SUM(AG13:AG80)</f>
        <v>0</v>
      </c>
      <c r="AH81" s="759" t="s">
        <v>125</v>
      </c>
      <c r="AI81" s="759"/>
      <c r="AJ81" s="319">
        <f>SUM(AJ13:AJ80)</f>
        <v>0</v>
      </c>
      <c r="AK81" s="759" t="s">
        <v>125</v>
      </c>
      <c r="AL81" s="759"/>
      <c r="AM81" s="319">
        <f>SUM(AM13:AM80)</f>
        <v>0</v>
      </c>
      <c r="AN81" s="759" t="s">
        <v>125</v>
      </c>
      <c r="AO81" s="759"/>
      <c r="AP81" s="319">
        <f>SUM(AP13:AP80)</f>
        <v>0</v>
      </c>
      <c r="AQ81" s="759" t="s">
        <v>125</v>
      </c>
      <c r="AR81" s="759"/>
      <c r="AS81" s="319">
        <f>SUM(AS13:AS80)</f>
        <v>0</v>
      </c>
      <c r="AT81" s="759" t="s">
        <v>125</v>
      </c>
      <c r="AU81" s="759"/>
      <c r="AV81" s="319">
        <f>SUM(AV13:AV80)</f>
        <v>0</v>
      </c>
      <c r="AW81" s="759" t="s">
        <v>125</v>
      </c>
      <c r="AX81" s="759"/>
      <c r="AY81" s="319">
        <f>SUM(AY13:AY80)</f>
        <v>0</v>
      </c>
      <c r="AZ81" s="759" t="s">
        <v>125</v>
      </c>
      <c r="BA81" s="759"/>
      <c r="BB81" s="319">
        <f>SUM(BB13:BB80)</f>
        <v>120403.61000000003</v>
      </c>
    </row>
    <row r="82" spans="1:54" s="218" customFormat="1" x14ac:dyDescent="0.2">
      <c r="A82" s="103" t="s">
        <v>41</v>
      </c>
      <c r="B82" s="104"/>
      <c r="C82" s="104"/>
      <c r="D82" s="232" t="s">
        <v>1054</v>
      </c>
      <c r="E82" s="328"/>
      <c r="F82" s="362"/>
      <c r="G82" s="37"/>
      <c r="H82" s="37"/>
      <c r="I82" s="37"/>
      <c r="J82" s="37"/>
      <c r="K82" s="38"/>
      <c r="L82" s="243"/>
      <c r="M82" s="207"/>
      <c r="N82" s="98"/>
      <c r="O82" s="208"/>
      <c r="P82" s="209"/>
      <c r="Q82" s="98"/>
      <c r="R82" s="208"/>
      <c r="S82" s="209"/>
      <c r="T82" s="98"/>
      <c r="U82" s="208"/>
      <c r="V82" s="209"/>
      <c r="W82" s="98"/>
      <c r="X82" s="208"/>
      <c r="Y82" s="209"/>
      <c r="Z82" s="98"/>
      <c r="AA82" s="208"/>
      <c r="AB82" s="209"/>
      <c r="AC82" s="98"/>
      <c r="AD82" s="208"/>
      <c r="AE82" s="209"/>
      <c r="AF82" s="98"/>
      <c r="AG82" s="208"/>
      <c r="AH82" s="209"/>
      <c r="AI82" s="98"/>
      <c r="AJ82" s="208"/>
      <c r="AK82" s="209"/>
      <c r="AL82" s="98"/>
      <c r="AM82" s="208"/>
      <c r="AN82" s="209"/>
      <c r="AO82" s="98"/>
      <c r="AP82" s="208"/>
      <c r="AQ82" s="209"/>
      <c r="AR82" s="98"/>
      <c r="AS82" s="208"/>
      <c r="AT82" s="209"/>
      <c r="AU82" s="98"/>
      <c r="AV82" s="210"/>
      <c r="AW82" s="209"/>
      <c r="AX82" s="98"/>
      <c r="AY82" s="211"/>
      <c r="AZ82" s="212"/>
      <c r="BA82" s="98"/>
      <c r="BB82" s="211"/>
    </row>
    <row r="83" spans="1:54" s="218" customFormat="1" x14ac:dyDescent="0.2">
      <c r="A83" s="324" t="s">
        <v>127</v>
      </c>
      <c r="B83" s="87" t="s">
        <v>1055</v>
      </c>
      <c r="C83" s="87" t="s">
        <v>104</v>
      </c>
      <c r="D83" s="96" t="s">
        <v>1056</v>
      </c>
      <c r="E83" s="87" t="s">
        <v>1057</v>
      </c>
      <c r="F83" s="363">
        <f>1.25*510</f>
        <v>637.5</v>
      </c>
      <c r="G83" s="66">
        <v>1</v>
      </c>
      <c r="H83" s="66">
        <f>G83</f>
        <v>1</v>
      </c>
      <c r="I83" s="37">
        <f t="shared" ref="I83:I125" si="51">H83-G83</f>
        <v>0</v>
      </c>
      <c r="J83" s="37">
        <f t="shared" ref="J83:J125" si="52">ROUND((F83*(1+$K$8))*(1+$G$8),2)</f>
        <v>802.04</v>
      </c>
      <c r="K83" s="38">
        <f>TRUNC(J83*G83,2)</f>
        <v>802.04</v>
      </c>
      <c r="L83" s="244">
        <f t="shared" si="18"/>
        <v>0</v>
      </c>
      <c r="M83" s="213">
        <f t="shared" si="19"/>
        <v>0</v>
      </c>
      <c r="N83" s="98"/>
      <c r="O83" s="98">
        <f t="shared" si="37"/>
        <v>0</v>
      </c>
      <c r="P83" s="214">
        <f t="shared" si="20"/>
        <v>0</v>
      </c>
      <c r="Q83" s="98"/>
      <c r="R83" s="98">
        <f t="shared" si="38"/>
        <v>0</v>
      </c>
      <c r="S83" s="214">
        <f t="shared" si="21"/>
        <v>0</v>
      </c>
      <c r="T83" s="98"/>
      <c r="U83" s="98">
        <f t="shared" si="39"/>
        <v>0</v>
      </c>
      <c r="V83" s="214">
        <f t="shared" si="22"/>
        <v>0</v>
      </c>
      <c r="W83" s="98"/>
      <c r="X83" s="98">
        <f t="shared" si="40"/>
        <v>0</v>
      </c>
      <c r="Y83" s="214">
        <f t="shared" si="23"/>
        <v>0</v>
      </c>
      <c r="Z83" s="98"/>
      <c r="AA83" s="98">
        <f t="shared" si="41"/>
        <v>0</v>
      </c>
      <c r="AB83" s="214">
        <f t="shared" si="24"/>
        <v>0</v>
      </c>
      <c r="AC83" s="98"/>
      <c r="AD83" s="98">
        <f t="shared" si="42"/>
        <v>0</v>
      </c>
      <c r="AE83" s="214">
        <f t="shared" si="25"/>
        <v>0</v>
      </c>
      <c r="AF83" s="98"/>
      <c r="AG83" s="98">
        <f t="shared" si="43"/>
        <v>0</v>
      </c>
      <c r="AH83" s="214">
        <f t="shared" si="26"/>
        <v>0</v>
      </c>
      <c r="AI83" s="98"/>
      <c r="AJ83" s="98">
        <f t="shared" si="44"/>
        <v>0</v>
      </c>
      <c r="AK83" s="214">
        <f t="shared" si="27"/>
        <v>0</v>
      </c>
      <c r="AL83" s="98"/>
      <c r="AM83" s="98">
        <f t="shared" si="45"/>
        <v>0</v>
      </c>
      <c r="AN83" s="214">
        <f t="shared" si="28"/>
        <v>0</v>
      </c>
      <c r="AO83" s="98"/>
      <c r="AP83" s="98">
        <f t="shared" si="46"/>
        <v>0</v>
      </c>
      <c r="AQ83" s="214">
        <f t="shared" si="29"/>
        <v>0</v>
      </c>
      <c r="AR83" s="98"/>
      <c r="AS83" s="98">
        <f t="shared" si="47"/>
        <v>0</v>
      </c>
      <c r="AT83" s="214">
        <f t="shared" si="30"/>
        <v>0</v>
      </c>
      <c r="AU83" s="98"/>
      <c r="AV83" s="215">
        <f t="shared" si="48"/>
        <v>0</v>
      </c>
      <c r="AW83" s="214">
        <f t="shared" si="31"/>
        <v>0</v>
      </c>
      <c r="AX83" s="98">
        <f t="shared" si="32"/>
        <v>0</v>
      </c>
      <c r="AY83" s="204">
        <f t="shared" si="49"/>
        <v>0</v>
      </c>
      <c r="AZ83" s="214">
        <f t="shared" si="33"/>
        <v>100</v>
      </c>
      <c r="BA83" s="98">
        <f t="shared" si="34"/>
        <v>1</v>
      </c>
      <c r="BB83" s="204">
        <f t="shared" si="50"/>
        <v>802.04</v>
      </c>
    </row>
    <row r="84" spans="1:54" s="218" customFormat="1" x14ac:dyDescent="0.2">
      <c r="A84" s="324" t="s">
        <v>131</v>
      </c>
      <c r="B84" s="87" t="s">
        <v>1055</v>
      </c>
      <c r="C84" s="87" t="s">
        <v>104</v>
      </c>
      <c r="D84" s="92" t="s">
        <v>1058</v>
      </c>
      <c r="E84" s="28" t="s">
        <v>110</v>
      </c>
      <c r="F84" s="357">
        <f>1.25*54.45</f>
        <v>68.0625</v>
      </c>
      <c r="G84" s="66">
        <v>3</v>
      </c>
      <c r="H84" s="66">
        <f t="shared" ref="H84:H125" si="53">G84</f>
        <v>3</v>
      </c>
      <c r="I84" s="37">
        <f t="shared" si="51"/>
        <v>0</v>
      </c>
      <c r="J84" s="37">
        <f t="shared" si="52"/>
        <v>85.63</v>
      </c>
      <c r="K84" s="38">
        <f t="shared" ref="K84:K125" si="54">TRUNC(J84*G84,2)</f>
        <v>256.89</v>
      </c>
      <c r="L84" s="244">
        <f t="shared" si="18"/>
        <v>0</v>
      </c>
      <c r="M84" s="213">
        <f t="shared" si="19"/>
        <v>0</v>
      </c>
      <c r="N84" s="98"/>
      <c r="O84" s="98">
        <f t="shared" si="37"/>
        <v>0</v>
      </c>
      <c r="P84" s="214">
        <f t="shared" si="20"/>
        <v>0</v>
      </c>
      <c r="Q84" s="98"/>
      <c r="R84" s="98">
        <f t="shared" si="38"/>
        <v>0</v>
      </c>
      <c r="S84" s="214">
        <f t="shared" si="21"/>
        <v>0</v>
      </c>
      <c r="T84" s="98"/>
      <c r="U84" s="98">
        <f t="shared" si="39"/>
        <v>0</v>
      </c>
      <c r="V84" s="214">
        <f t="shared" si="22"/>
        <v>0</v>
      </c>
      <c r="W84" s="98"/>
      <c r="X84" s="98">
        <f t="shared" si="40"/>
        <v>0</v>
      </c>
      <c r="Y84" s="214">
        <f t="shared" si="23"/>
        <v>0</v>
      </c>
      <c r="Z84" s="98"/>
      <c r="AA84" s="98">
        <f t="shared" si="41"/>
        <v>0</v>
      </c>
      <c r="AB84" s="214">
        <f t="shared" si="24"/>
        <v>0</v>
      </c>
      <c r="AC84" s="98"/>
      <c r="AD84" s="98">
        <f t="shared" si="42"/>
        <v>0</v>
      </c>
      <c r="AE84" s="214">
        <f t="shared" si="25"/>
        <v>0</v>
      </c>
      <c r="AF84" s="98"/>
      <c r="AG84" s="98">
        <f t="shared" si="43"/>
        <v>0</v>
      </c>
      <c r="AH84" s="214">
        <f t="shared" si="26"/>
        <v>0</v>
      </c>
      <c r="AI84" s="98"/>
      <c r="AJ84" s="98">
        <f t="shared" si="44"/>
        <v>0</v>
      </c>
      <c r="AK84" s="214">
        <f t="shared" si="27"/>
        <v>0</v>
      </c>
      <c r="AL84" s="98"/>
      <c r="AM84" s="98">
        <f t="shared" si="45"/>
        <v>0</v>
      </c>
      <c r="AN84" s="214">
        <f t="shared" si="28"/>
        <v>0</v>
      </c>
      <c r="AO84" s="98"/>
      <c r="AP84" s="98">
        <f t="shared" si="46"/>
        <v>0</v>
      </c>
      <c r="AQ84" s="214">
        <f t="shared" si="29"/>
        <v>0</v>
      </c>
      <c r="AR84" s="98"/>
      <c r="AS84" s="98">
        <f t="shared" si="47"/>
        <v>0</v>
      </c>
      <c r="AT84" s="214">
        <f t="shared" si="30"/>
        <v>0</v>
      </c>
      <c r="AU84" s="98"/>
      <c r="AV84" s="215">
        <f t="shared" si="48"/>
        <v>0</v>
      </c>
      <c r="AW84" s="214">
        <f t="shared" si="31"/>
        <v>0</v>
      </c>
      <c r="AX84" s="98">
        <f t="shared" si="32"/>
        <v>0</v>
      </c>
      <c r="AY84" s="204">
        <f t="shared" si="49"/>
        <v>0</v>
      </c>
      <c r="AZ84" s="214">
        <f t="shared" si="33"/>
        <v>100</v>
      </c>
      <c r="BA84" s="98">
        <f t="shared" si="34"/>
        <v>3</v>
      </c>
      <c r="BB84" s="204">
        <f t="shared" si="50"/>
        <v>256.89</v>
      </c>
    </row>
    <row r="85" spans="1:54" s="218" customFormat="1" x14ac:dyDescent="0.2">
      <c r="A85" s="324" t="s">
        <v>135</v>
      </c>
      <c r="B85" s="87" t="s">
        <v>1055</v>
      </c>
      <c r="C85" s="87" t="s">
        <v>104</v>
      </c>
      <c r="D85" s="96" t="s">
        <v>1059</v>
      </c>
      <c r="E85" s="87" t="s">
        <v>1057</v>
      </c>
      <c r="F85" s="364">
        <f>1.25*6.33</f>
        <v>7.9124999999999996</v>
      </c>
      <c r="G85" s="66">
        <v>6</v>
      </c>
      <c r="H85" s="66">
        <f t="shared" si="53"/>
        <v>6</v>
      </c>
      <c r="I85" s="37">
        <f t="shared" si="51"/>
        <v>0</v>
      </c>
      <c r="J85" s="37">
        <f t="shared" si="52"/>
        <v>9.9499999999999993</v>
      </c>
      <c r="K85" s="38">
        <f t="shared" si="54"/>
        <v>59.7</v>
      </c>
      <c r="L85" s="244">
        <f t="shared" si="18"/>
        <v>0</v>
      </c>
      <c r="M85" s="213">
        <f t="shared" si="19"/>
        <v>0</v>
      </c>
      <c r="N85" s="98"/>
      <c r="O85" s="98">
        <f t="shared" si="37"/>
        <v>0</v>
      </c>
      <c r="P85" s="214">
        <f t="shared" si="20"/>
        <v>0</v>
      </c>
      <c r="Q85" s="98"/>
      <c r="R85" s="98">
        <f t="shared" si="38"/>
        <v>0</v>
      </c>
      <c r="S85" s="214">
        <f t="shared" si="21"/>
        <v>0</v>
      </c>
      <c r="T85" s="98"/>
      <c r="U85" s="98">
        <f t="shared" si="39"/>
        <v>0</v>
      </c>
      <c r="V85" s="214">
        <f t="shared" si="22"/>
        <v>0</v>
      </c>
      <c r="W85" s="98"/>
      <c r="X85" s="98">
        <f t="shared" si="40"/>
        <v>0</v>
      </c>
      <c r="Y85" s="214">
        <f t="shared" si="23"/>
        <v>0</v>
      </c>
      <c r="Z85" s="98"/>
      <c r="AA85" s="98">
        <f t="shared" si="41"/>
        <v>0</v>
      </c>
      <c r="AB85" s="214">
        <f t="shared" si="24"/>
        <v>0</v>
      </c>
      <c r="AC85" s="98"/>
      <c r="AD85" s="98">
        <f t="shared" si="42"/>
        <v>0</v>
      </c>
      <c r="AE85" s="214">
        <f t="shared" si="25"/>
        <v>0</v>
      </c>
      <c r="AF85" s="98"/>
      <c r="AG85" s="98">
        <f t="shared" si="43"/>
        <v>0</v>
      </c>
      <c r="AH85" s="214">
        <f t="shared" si="26"/>
        <v>0</v>
      </c>
      <c r="AI85" s="98"/>
      <c r="AJ85" s="98">
        <f t="shared" si="44"/>
        <v>0</v>
      </c>
      <c r="AK85" s="214">
        <f t="shared" si="27"/>
        <v>0</v>
      </c>
      <c r="AL85" s="98"/>
      <c r="AM85" s="98">
        <f t="shared" si="45"/>
        <v>0</v>
      </c>
      <c r="AN85" s="214">
        <f t="shared" si="28"/>
        <v>0</v>
      </c>
      <c r="AO85" s="98"/>
      <c r="AP85" s="98">
        <f t="shared" si="46"/>
        <v>0</v>
      </c>
      <c r="AQ85" s="214">
        <f t="shared" si="29"/>
        <v>0</v>
      </c>
      <c r="AR85" s="98"/>
      <c r="AS85" s="98">
        <f t="shared" si="47"/>
        <v>0</v>
      </c>
      <c r="AT85" s="214">
        <f t="shared" si="30"/>
        <v>0</v>
      </c>
      <c r="AU85" s="98"/>
      <c r="AV85" s="215">
        <f t="shared" si="48"/>
        <v>0</v>
      </c>
      <c r="AW85" s="214">
        <f t="shared" si="31"/>
        <v>0</v>
      </c>
      <c r="AX85" s="98">
        <f t="shared" si="32"/>
        <v>0</v>
      </c>
      <c r="AY85" s="204">
        <f t="shared" si="49"/>
        <v>0</v>
      </c>
      <c r="AZ85" s="214">
        <f t="shared" si="33"/>
        <v>100</v>
      </c>
      <c r="BA85" s="98">
        <f t="shared" si="34"/>
        <v>6</v>
      </c>
      <c r="BB85" s="204">
        <f t="shared" si="50"/>
        <v>59.7</v>
      </c>
    </row>
    <row r="86" spans="1:54" s="218" customFormat="1" x14ac:dyDescent="0.2">
      <c r="A86" s="324" t="s">
        <v>139</v>
      </c>
      <c r="B86" s="87" t="s">
        <v>1055</v>
      </c>
      <c r="C86" s="87" t="s">
        <v>104</v>
      </c>
      <c r="D86" s="96" t="s">
        <v>1060</v>
      </c>
      <c r="E86" s="87" t="s">
        <v>1057</v>
      </c>
      <c r="F86" s="364">
        <f>1.25*5.48</f>
        <v>6.8500000000000005</v>
      </c>
      <c r="G86" s="66">
        <v>5</v>
      </c>
      <c r="H86" s="66">
        <f t="shared" si="53"/>
        <v>5</v>
      </c>
      <c r="I86" s="37">
        <f t="shared" si="51"/>
        <v>0</v>
      </c>
      <c r="J86" s="37">
        <f t="shared" si="52"/>
        <v>8.6199999999999992</v>
      </c>
      <c r="K86" s="38">
        <f t="shared" si="54"/>
        <v>43.1</v>
      </c>
      <c r="L86" s="244">
        <f t="shared" si="18"/>
        <v>0</v>
      </c>
      <c r="M86" s="213">
        <f t="shared" si="19"/>
        <v>0</v>
      </c>
      <c r="N86" s="98"/>
      <c r="O86" s="98">
        <f t="shared" si="37"/>
        <v>0</v>
      </c>
      <c r="P86" s="214">
        <f t="shared" si="20"/>
        <v>0</v>
      </c>
      <c r="Q86" s="98"/>
      <c r="R86" s="98">
        <f t="shared" si="38"/>
        <v>0</v>
      </c>
      <c r="S86" s="214">
        <f t="shared" si="21"/>
        <v>0</v>
      </c>
      <c r="T86" s="98"/>
      <c r="U86" s="98">
        <f t="shared" si="39"/>
        <v>0</v>
      </c>
      <c r="V86" s="214">
        <f t="shared" si="22"/>
        <v>0</v>
      </c>
      <c r="W86" s="98"/>
      <c r="X86" s="98">
        <f t="shared" si="40"/>
        <v>0</v>
      </c>
      <c r="Y86" s="214">
        <f t="shared" si="23"/>
        <v>0</v>
      </c>
      <c r="Z86" s="98"/>
      <c r="AA86" s="98">
        <f t="shared" si="41"/>
        <v>0</v>
      </c>
      <c r="AB86" s="214">
        <f t="shared" si="24"/>
        <v>0</v>
      </c>
      <c r="AC86" s="98"/>
      <c r="AD86" s="98">
        <f t="shared" si="42"/>
        <v>0</v>
      </c>
      <c r="AE86" s="214">
        <f t="shared" si="25"/>
        <v>0</v>
      </c>
      <c r="AF86" s="98"/>
      <c r="AG86" s="98">
        <f t="shared" si="43"/>
        <v>0</v>
      </c>
      <c r="AH86" s="214">
        <f t="shared" si="26"/>
        <v>0</v>
      </c>
      <c r="AI86" s="98"/>
      <c r="AJ86" s="98">
        <f t="shared" si="44"/>
        <v>0</v>
      </c>
      <c r="AK86" s="214">
        <f t="shared" si="27"/>
        <v>0</v>
      </c>
      <c r="AL86" s="98"/>
      <c r="AM86" s="98">
        <f t="shared" si="45"/>
        <v>0</v>
      </c>
      <c r="AN86" s="214">
        <f t="shared" si="28"/>
        <v>0</v>
      </c>
      <c r="AO86" s="98"/>
      <c r="AP86" s="98">
        <f t="shared" si="46"/>
        <v>0</v>
      </c>
      <c r="AQ86" s="214">
        <f t="shared" si="29"/>
        <v>0</v>
      </c>
      <c r="AR86" s="98"/>
      <c r="AS86" s="98">
        <f t="shared" si="47"/>
        <v>0</v>
      </c>
      <c r="AT86" s="214">
        <f t="shared" si="30"/>
        <v>0</v>
      </c>
      <c r="AU86" s="98"/>
      <c r="AV86" s="215">
        <f t="shared" si="48"/>
        <v>0</v>
      </c>
      <c r="AW86" s="214">
        <f t="shared" si="31"/>
        <v>0</v>
      </c>
      <c r="AX86" s="98">
        <f t="shared" si="32"/>
        <v>0</v>
      </c>
      <c r="AY86" s="204">
        <f t="shared" si="49"/>
        <v>0</v>
      </c>
      <c r="AZ86" s="214">
        <f t="shared" si="33"/>
        <v>100</v>
      </c>
      <c r="BA86" s="98">
        <f t="shared" si="34"/>
        <v>5</v>
      </c>
      <c r="BB86" s="204">
        <f t="shared" si="50"/>
        <v>43.1</v>
      </c>
    </row>
    <row r="87" spans="1:54" s="218" customFormat="1" x14ac:dyDescent="0.2">
      <c r="A87" s="324" t="s">
        <v>143</v>
      </c>
      <c r="B87" s="87" t="s">
        <v>1055</v>
      </c>
      <c r="C87" s="87" t="s">
        <v>104</v>
      </c>
      <c r="D87" s="96" t="s">
        <v>1061</v>
      </c>
      <c r="E87" s="87" t="s">
        <v>1057</v>
      </c>
      <c r="F87" s="364">
        <f>1.25*4.57</f>
        <v>5.7125000000000004</v>
      </c>
      <c r="G87" s="66">
        <v>2</v>
      </c>
      <c r="H87" s="66">
        <f t="shared" si="53"/>
        <v>2</v>
      </c>
      <c r="I87" s="37">
        <f t="shared" si="51"/>
        <v>0</v>
      </c>
      <c r="J87" s="37">
        <f t="shared" si="52"/>
        <v>7.19</v>
      </c>
      <c r="K87" s="38">
        <f t="shared" si="54"/>
        <v>14.38</v>
      </c>
      <c r="L87" s="244">
        <f t="shared" si="18"/>
        <v>0</v>
      </c>
      <c r="M87" s="213">
        <f t="shared" si="19"/>
        <v>0</v>
      </c>
      <c r="N87" s="98"/>
      <c r="O87" s="98">
        <f t="shared" si="37"/>
        <v>0</v>
      </c>
      <c r="P87" s="214">
        <f t="shared" si="20"/>
        <v>0</v>
      </c>
      <c r="Q87" s="98"/>
      <c r="R87" s="98">
        <f t="shared" si="38"/>
        <v>0</v>
      </c>
      <c r="S87" s="214">
        <f t="shared" si="21"/>
        <v>0</v>
      </c>
      <c r="T87" s="98"/>
      <c r="U87" s="98">
        <f t="shared" si="39"/>
        <v>0</v>
      </c>
      <c r="V87" s="214">
        <f t="shared" si="22"/>
        <v>0</v>
      </c>
      <c r="W87" s="98"/>
      <c r="X87" s="98">
        <f t="shared" si="40"/>
        <v>0</v>
      </c>
      <c r="Y87" s="214">
        <f t="shared" si="23"/>
        <v>0</v>
      </c>
      <c r="Z87" s="98"/>
      <c r="AA87" s="98">
        <f t="shared" si="41"/>
        <v>0</v>
      </c>
      <c r="AB87" s="214">
        <f t="shared" si="24"/>
        <v>0</v>
      </c>
      <c r="AC87" s="98"/>
      <c r="AD87" s="98">
        <f t="shared" si="42"/>
        <v>0</v>
      </c>
      <c r="AE87" s="214">
        <f t="shared" si="25"/>
        <v>0</v>
      </c>
      <c r="AF87" s="98"/>
      <c r="AG87" s="98">
        <f t="shared" si="43"/>
        <v>0</v>
      </c>
      <c r="AH87" s="214">
        <f t="shared" si="26"/>
        <v>0</v>
      </c>
      <c r="AI87" s="98"/>
      <c r="AJ87" s="98">
        <f t="shared" si="44"/>
        <v>0</v>
      </c>
      <c r="AK87" s="214">
        <f t="shared" si="27"/>
        <v>0</v>
      </c>
      <c r="AL87" s="98"/>
      <c r="AM87" s="98">
        <f t="shared" si="45"/>
        <v>0</v>
      </c>
      <c r="AN87" s="214">
        <f t="shared" si="28"/>
        <v>0</v>
      </c>
      <c r="AO87" s="98"/>
      <c r="AP87" s="98">
        <f t="shared" si="46"/>
        <v>0</v>
      </c>
      <c r="AQ87" s="214">
        <f t="shared" si="29"/>
        <v>0</v>
      </c>
      <c r="AR87" s="98"/>
      <c r="AS87" s="98">
        <f t="shared" si="47"/>
        <v>0</v>
      </c>
      <c r="AT87" s="214">
        <f t="shared" si="30"/>
        <v>0</v>
      </c>
      <c r="AU87" s="98"/>
      <c r="AV87" s="215">
        <f t="shared" si="48"/>
        <v>0</v>
      </c>
      <c r="AW87" s="214">
        <f t="shared" si="31"/>
        <v>0</v>
      </c>
      <c r="AX87" s="98">
        <f t="shared" si="32"/>
        <v>0</v>
      </c>
      <c r="AY87" s="204">
        <f t="shared" si="49"/>
        <v>0</v>
      </c>
      <c r="AZ87" s="214">
        <f t="shared" si="33"/>
        <v>100</v>
      </c>
      <c r="BA87" s="98">
        <f t="shared" si="34"/>
        <v>2</v>
      </c>
      <c r="BB87" s="204">
        <f t="shared" si="50"/>
        <v>14.38</v>
      </c>
    </row>
    <row r="88" spans="1:54" s="218" customFormat="1" x14ac:dyDescent="0.2">
      <c r="A88" s="324" t="s">
        <v>147</v>
      </c>
      <c r="B88" s="87" t="s">
        <v>1055</v>
      </c>
      <c r="C88" s="87" t="s">
        <v>104</v>
      </c>
      <c r="D88" s="96" t="s">
        <v>1062</v>
      </c>
      <c r="E88" s="87" t="s">
        <v>1057</v>
      </c>
      <c r="F88" s="364">
        <f>1.25*5.55</f>
        <v>6.9375</v>
      </c>
      <c r="G88" s="66">
        <v>5</v>
      </c>
      <c r="H88" s="66">
        <f t="shared" si="53"/>
        <v>5</v>
      </c>
      <c r="I88" s="37">
        <f t="shared" si="51"/>
        <v>0</v>
      </c>
      <c r="J88" s="37">
        <f t="shared" si="52"/>
        <v>8.73</v>
      </c>
      <c r="K88" s="38">
        <f t="shared" si="54"/>
        <v>43.65</v>
      </c>
      <c r="L88" s="244">
        <f t="shared" si="18"/>
        <v>0</v>
      </c>
      <c r="M88" s="213">
        <f t="shared" si="19"/>
        <v>0</v>
      </c>
      <c r="N88" s="98"/>
      <c r="O88" s="98">
        <f t="shared" si="37"/>
        <v>0</v>
      </c>
      <c r="P88" s="214">
        <f t="shared" si="20"/>
        <v>0</v>
      </c>
      <c r="Q88" s="98"/>
      <c r="R88" s="98">
        <f t="shared" si="38"/>
        <v>0</v>
      </c>
      <c r="S88" s="214">
        <f t="shared" si="21"/>
        <v>0</v>
      </c>
      <c r="T88" s="98"/>
      <c r="U88" s="98">
        <f t="shared" si="39"/>
        <v>0</v>
      </c>
      <c r="V88" s="214">
        <f t="shared" si="22"/>
        <v>0</v>
      </c>
      <c r="W88" s="98"/>
      <c r="X88" s="98">
        <f t="shared" si="40"/>
        <v>0</v>
      </c>
      <c r="Y88" s="214">
        <f t="shared" si="23"/>
        <v>0</v>
      </c>
      <c r="Z88" s="98"/>
      <c r="AA88" s="98">
        <f t="shared" si="41"/>
        <v>0</v>
      </c>
      <c r="AB88" s="214">
        <f t="shared" si="24"/>
        <v>0</v>
      </c>
      <c r="AC88" s="98"/>
      <c r="AD88" s="98">
        <f t="shared" si="42"/>
        <v>0</v>
      </c>
      <c r="AE88" s="214">
        <f t="shared" si="25"/>
        <v>0</v>
      </c>
      <c r="AF88" s="98"/>
      <c r="AG88" s="98">
        <f t="shared" si="43"/>
        <v>0</v>
      </c>
      <c r="AH88" s="214">
        <f t="shared" si="26"/>
        <v>0</v>
      </c>
      <c r="AI88" s="98"/>
      <c r="AJ88" s="98">
        <f t="shared" si="44"/>
        <v>0</v>
      </c>
      <c r="AK88" s="214">
        <f t="shared" si="27"/>
        <v>0</v>
      </c>
      <c r="AL88" s="98"/>
      <c r="AM88" s="98">
        <f t="shared" si="45"/>
        <v>0</v>
      </c>
      <c r="AN88" s="214">
        <f t="shared" si="28"/>
        <v>0</v>
      </c>
      <c r="AO88" s="98"/>
      <c r="AP88" s="98">
        <f t="shared" si="46"/>
        <v>0</v>
      </c>
      <c r="AQ88" s="214">
        <f t="shared" si="29"/>
        <v>0</v>
      </c>
      <c r="AR88" s="98"/>
      <c r="AS88" s="98">
        <f t="shared" si="47"/>
        <v>0</v>
      </c>
      <c r="AT88" s="214">
        <f t="shared" si="30"/>
        <v>0</v>
      </c>
      <c r="AU88" s="98"/>
      <c r="AV88" s="215">
        <f t="shared" si="48"/>
        <v>0</v>
      </c>
      <c r="AW88" s="214">
        <f t="shared" si="31"/>
        <v>0</v>
      </c>
      <c r="AX88" s="98">
        <f t="shared" si="32"/>
        <v>0</v>
      </c>
      <c r="AY88" s="204">
        <f t="shared" si="49"/>
        <v>0</v>
      </c>
      <c r="AZ88" s="214">
        <f t="shared" si="33"/>
        <v>100</v>
      </c>
      <c r="BA88" s="98">
        <f t="shared" si="34"/>
        <v>5</v>
      </c>
      <c r="BB88" s="204">
        <f t="shared" si="50"/>
        <v>43.65</v>
      </c>
    </row>
    <row r="89" spans="1:54" s="218" customFormat="1" x14ac:dyDescent="0.2">
      <c r="A89" s="324" t="s">
        <v>151</v>
      </c>
      <c r="B89" s="87" t="s">
        <v>1055</v>
      </c>
      <c r="C89" s="87" t="s">
        <v>104</v>
      </c>
      <c r="D89" s="96" t="s">
        <v>1063</v>
      </c>
      <c r="E89" s="87" t="s">
        <v>1057</v>
      </c>
      <c r="F89" s="364">
        <f>1.25*9.72</f>
        <v>12.15</v>
      </c>
      <c r="G89" s="66">
        <v>3</v>
      </c>
      <c r="H89" s="66">
        <f t="shared" si="53"/>
        <v>3</v>
      </c>
      <c r="I89" s="37">
        <f t="shared" si="51"/>
        <v>0</v>
      </c>
      <c r="J89" s="37">
        <f t="shared" si="52"/>
        <v>15.29</v>
      </c>
      <c r="K89" s="38">
        <f t="shared" si="54"/>
        <v>45.87</v>
      </c>
      <c r="L89" s="244">
        <f t="shared" si="18"/>
        <v>0</v>
      </c>
      <c r="M89" s="213">
        <f t="shared" si="19"/>
        <v>0</v>
      </c>
      <c r="N89" s="98"/>
      <c r="O89" s="98">
        <f t="shared" si="37"/>
        <v>0</v>
      </c>
      <c r="P89" s="214">
        <f t="shared" si="20"/>
        <v>0</v>
      </c>
      <c r="Q89" s="98"/>
      <c r="R89" s="98">
        <f t="shared" si="38"/>
        <v>0</v>
      </c>
      <c r="S89" s="214">
        <f t="shared" si="21"/>
        <v>0</v>
      </c>
      <c r="T89" s="98"/>
      <c r="U89" s="98">
        <f t="shared" si="39"/>
        <v>0</v>
      </c>
      <c r="V89" s="214">
        <f t="shared" si="22"/>
        <v>0</v>
      </c>
      <c r="W89" s="98"/>
      <c r="X89" s="98">
        <f t="shared" si="40"/>
        <v>0</v>
      </c>
      <c r="Y89" s="214">
        <f t="shared" si="23"/>
        <v>0</v>
      </c>
      <c r="Z89" s="98"/>
      <c r="AA89" s="98">
        <f t="shared" si="41"/>
        <v>0</v>
      </c>
      <c r="AB89" s="214">
        <f t="shared" si="24"/>
        <v>0</v>
      </c>
      <c r="AC89" s="98"/>
      <c r="AD89" s="98">
        <f t="shared" si="42"/>
        <v>0</v>
      </c>
      <c r="AE89" s="214">
        <f t="shared" si="25"/>
        <v>0</v>
      </c>
      <c r="AF89" s="98"/>
      <c r="AG89" s="98">
        <f t="shared" si="43"/>
        <v>0</v>
      </c>
      <c r="AH89" s="214">
        <f t="shared" si="26"/>
        <v>0</v>
      </c>
      <c r="AI89" s="98"/>
      <c r="AJ89" s="98">
        <f t="shared" si="44"/>
        <v>0</v>
      </c>
      <c r="AK89" s="214">
        <f t="shared" si="27"/>
        <v>0</v>
      </c>
      <c r="AL89" s="98"/>
      <c r="AM89" s="98">
        <f t="shared" si="45"/>
        <v>0</v>
      </c>
      <c r="AN89" s="214">
        <f t="shared" si="28"/>
        <v>0</v>
      </c>
      <c r="AO89" s="98"/>
      <c r="AP89" s="98">
        <f t="shared" si="46"/>
        <v>0</v>
      </c>
      <c r="AQ89" s="214">
        <f t="shared" si="29"/>
        <v>0</v>
      </c>
      <c r="AR89" s="98"/>
      <c r="AS89" s="98">
        <f t="shared" si="47"/>
        <v>0</v>
      </c>
      <c r="AT89" s="214">
        <f t="shared" si="30"/>
        <v>0</v>
      </c>
      <c r="AU89" s="98"/>
      <c r="AV89" s="215">
        <f t="shared" si="48"/>
        <v>0</v>
      </c>
      <c r="AW89" s="214">
        <f t="shared" si="31"/>
        <v>0</v>
      </c>
      <c r="AX89" s="98">
        <f t="shared" si="32"/>
        <v>0</v>
      </c>
      <c r="AY89" s="204">
        <f t="shared" si="49"/>
        <v>0</v>
      </c>
      <c r="AZ89" s="214">
        <f t="shared" si="33"/>
        <v>100</v>
      </c>
      <c r="BA89" s="98">
        <f t="shared" si="34"/>
        <v>3</v>
      </c>
      <c r="BB89" s="204">
        <f t="shared" si="50"/>
        <v>45.87</v>
      </c>
    </row>
    <row r="90" spans="1:54" s="218" customFormat="1" x14ac:dyDescent="0.2">
      <c r="A90" s="324" t="s">
        <v>155</v>
      </c>
      <c r="B90" s="87" t="s">
        <v>1055</v>
      </c>
      <c r="C90" s="87" t="s">
        <v>104</v>
      </c>
      <c r="D90" s="96" t="s">
        <v>1064</v>
      </c>
      <c r="E90" s="87" t="s">
        <v>1057</v>
      </c>
      <c r="F90" s="364">
        <f>1.25*86.67</f>
        <v>108.33750000000001</v>
      </c>
      <c r="G90" s="66">
        <v>2</v>
      </c>
      <c r="H90" s="66">
        <f t="shared" si="53"/>
        <v>2</v>
      </c>
      <c r="I90" s="37">
        <f t="shared" si="51"/>
        <v>0</v>
      </c>
      <c r="J90" s="37">
        <f t="shared" si="52"/>
        <v>136.30000000000001</v>
      </c>
      <c r="K90" s="38">
        <f t="shared" si="54"/>
        <v>272.60000000000002</v>
      </c>
      <c r="L90" s="244">
        <f t="shared" si="18"/>
        <v>0</v>
      </c>
      <c r="M90" s="213">
        <f t="shared" si="19"/>
        <v>0</v>
      </c>
      <c r="N90" s="98"/>
      <c r="O90" s="98">
        <f t="shared" si="37"/>
        <v>0</v>
      </c>
      <c r="P90" s="214">
        <f t="shared" si="20"/>
        <v>0</v>
      </c>
      <c r="Q90" s="98"/>
      <c r="R90" s="98">
        <f t="shared" si="38"/>
        <v>0</v>
      </c>
      <c r="S90" s="214">
        <f t="shared" si="21"/>
        <v>0</v>
      </c>
      <c r="T90" s="98"/>
      <c r="U90" s="98">
        <f t="shared" si="39"/>
        <v>0</v>
      </c>
      <c r="V90" s="214">
        <f t="shared" si="22"/>
        <v>0</v>
      </c>
      <c r="W90" s="98"/>
      <c r="X90" s="98">
        <f t="shared" si="40"/>
        <v>0</v>
      </c>
      <c r="Y90" s="214">
        <f t="shared" si="23"/>
        <v>0</v>
      </c>
      <c r="Z90" s="98"/>
      <c r="AA90" s="98">
        <f t="shared" si="41"/>
        <v>0</v>
      </c>
      <c r="AB90" s="214">
        <f t="shared" si="24"/>
        <v>0</v>
      </c>
      <c r="AC90" s="98"/>
      <c r="AD90" s="98">
        <f t="shared" si="42"/>
        <v>0</v>
      </c>
      <c r="AE90" s="214">
        <f t="shared" si="25"/>
        <v>0</v>
      </c>
      <c r="AF90" s="98"/>
      <c r="AG90" s="98">
        <f t="shared" si="43"/>
        <v>0</v>
      </c>
      <c r="AH90" s="214">
        <f t="shared" si="26"/>
        <v>0</v>
      </c>
      <c r="AI90" s="98"/>
      <c r="AJ90" s="98">
        <f t="shared" si="44"/>
        <v>0</v>
      </c>
      <c r="AK90" s="214">
        <f t="shared" si="27"/>
        <v>0</v>
      </c>
      <c r="AL90" s="98"/>
      <c r="AM90" s="98">
        <f t="shared" si="45"/>
        <v>0</v>
      </c>
      <c r="AN90" s="214">
        <f t="shared" si="28"/>
        <v>0</v>
      </c>
      <c r="AO90" s="98"/>
      <c r="AP90" s="98">
        <f t="shared" si="46"/>
        <v>0</v>
      </c>
      <c r="AQ90" s="214">
        <f t="shared" si="29"/>
        <v>0</v>
      </c>
      <c r="AR90" s="98"/>
      <c r="AS90" s="98">
        <f t="shared" si="47"/>
        <v>0</v>
      </c>
      <c r="AT90" s="214">
        <f t="shared" si="30"/>
        <v>0</v>
      </c>
      <c r="AU90" s="98"/>
      <c r="AV90" s="215">
        <f t="shared" si="48"/>
        <v>0</v>
      </c>
      <c r="AW90" s="214">
        <f t="shared" si="31"/>
        <v>0</v>
      </c>
      <c r="AX90" s="98">
        <f t="shared" si="32"/>
        <v>0</v>
      </c>
      <c r="AY90" s="204">
        <f t="shared" si="49"/>
        <v>0</v>
      </c>
      <c r="AZ90" s="214">
        <f t="shared" si="33"/>
        <v>100</v>
      </c>
      <c r="BA90" s="98">
        <f t="shared" si="34"/>
        <v>2</v>
      </c>
      <c r="BB90" s="204">
        <f t="shared" si="50"/>
        <v>272.60000000000002</v>
      </c>
    </row>
    <row r="91" spans="1:54" s="218" customFormat="1" x14ac:dyDescent="0.2">
      <c r="A91" s="324" t="s">
        <v>159</v>
      </c>
      <c r="B91" s="87" t="s">
        <v>1055</v>
      </c>
      <c r="C91" s="87" t="s">
        <v>104</v>
      </c>
      <c r="D91" s="96" t="s">
        <v>1065</v>
      </c>
      <c r="E91" s="87" t="s">
        <v>1057</v>
      </c>
      <c r="F91" s="364">
        <f>1.25*0.43</f>
        <v>0.53749999999999998</v>
      </c>
      <c r="G91" s="66">
        <v>19</v>
      </c>
      <c r="H91" s="66">
        <f t="shared" si="53"/>
        <v>19</v>
      </c>
      <c r="I91" s="37">
        <f t="shared" si="51"/>
        <v>0</v>
      </c>
      <c r="J91" s="37">
        <f t="shared" si="52"/>
        <v>0.68</v>
      </c>
      <c r="K91" s="38">
        <f t="shared" si="54"/>
        <v>12.92</v>
      </c>
      <c r="L91" s="244">
        <f t="shared" si="18"/>
        <v>0</v>
      </c>
      <c r="M91" s="213">
        <f t="shared" si="19"/>
        <v>0</v>
      </c>
      <c r="N91" s="98"/>
      <c r="O91" s="98">
        <f t="shared" si="37"/>
        <v>0</v>
      </c>
      <c r="P91" s="214">
        <f t="shared" si="20"/>
        <v>0</v>
      </c>
      <c r="Q91" s="98"/>
      <c r="R91" s="98">
        <f t="shared" si="38"/>
        <v>0</v>
      </c>
      <c r="S91" s="214">
        <f t="shared" si="21"/>
        <v>0</v>
      </c>
      <c r="T91" s="98"/>
      <c r="U91" s="98">
        <f t="shared" si="39"/>
        <v>0</v>
      </c>
      <c r="V91" s="214">
        <f t="shared" si="22"/>
        <v>0</v>
      </c>
      <c r="W91" s="98"/>
      <c r="X91" s="98">
        <f t="shared" si="40"/>
        <v>0</v>
      </c>
      <c r="Y91" s="214">
        <f t="shared" si="23"/>
        <v>0</v>
      </c>
      <c r="Z91" s="98"/>
      <c r="AA91" s="98">
        <f t="shared" si="41"/>
        <v>0</v>
      </c>
      <c r="AB91" s="214">
        <f t="shared" si="24"/>
        <v>0</v>
      </c>
      <c r="AC91" s="98"/>
      <c r="AD91" s="98">
        <f t="shared" si="42"/>
        <v>0</v>
      </c>
      <c r="AE91" s="214">
        <f t="shared" si="25"/>
        <v>0</v>
      </c>
      <c r="AF91" s="98"/>
      <c r="AG91" s="98">
        <f t="shared" si="43"/>
        <v>0</v>
      </c>
      <c r="AH91" s="214">
        <f t="shared" si="26"/>
        <v>0</v>
      </c>
      <c r="AI91" s="98"/>
      <c r="AJ91" s="98">
        <f t="shared" si="44"/>
        <v>0</v>
      </c>
      <c r="AK91" s="214">
        <f t="shared" si="27"/>
        <v>0</v>
      </c>
      <c r="AL91" s="98"/>
      <c r="AM91" s="98">
        <f t="shared" si="45"/>
        <v>0</v>
      </c>
      <c r="AN91" s="214">
        <f t="shared" si="28"/>
        <v>0</v>
      </c>
      <c r="AO91" s="98"/>
      <c r="AP91" s="98">
        <f t="shared" si="46"/>
        <v>0</v>
      </c>
      <c r="AQ91" s="214">
        <f t="shared" si="29"/>
        <v>0</v>
      </c>
      <c r="AR91" s="98"/>
      <c r="AS91" s="98">
        <f t="shared" si="47"/>
        <v>0</v>
      </c>
      <c r="AT91" s="214">
        <f t="shared" si="30"/>
        <v>0</v>
      </c>
      <c r="AU91" s="98"/>
      <c r="AV91" s="215">
        <f t="shared" si="48"/>
        <v>0</v>
      </c>
      <c r="AW91" s="214">
        <f t="shared" si="31"/>
        <v>0</v>
      </c>
      <c r="AX91" s="98">
        <f t="shared" si="32"/>
        <v>0</v>
      </c>
      <c r="AY91" s="204">
        <f t="shared" si="49"/>
        <v>0</v>
      </c>
      <c r="AZ91" s="214">
        <f t="shared" si="33"/>
        <v>100</v>
      </c>
      <c r="BA91" s="98">
        <f t="shared" si="34"/>
        <v>19</v>
      </c>
      <c r="BB91" s="204">
        <f t="shared" si="50"/>
        <v>12.92</v>
      </c>
    </row>
    <row r="92" spans="1:54" s="218" customFormat="1" x14ac:dyDescent="0.2">
      <c r="A92" s="324" t="s">
        <v>163</v>
      </c>
      <c r="B92" s="87" t="s">
        <v>1055</v>
      </c>
      <c r="C92" s="87" t="s">
        <v>104</v>
      </c>
      <c r="D92" s="96" t="s">
        <v>1066</v>
      </c>
      <c r="E92" s="87" t="s">
        <v>1057</v>
      </c>
      <c r="F92" s="364">
        <f>1.25*8.66</f>
        <v>10.824999999999999</v>
      </c>
      <c r="G92" s="66">
        <v>3</v>
      </c>
      <c r="H92" s="66">
        <f t="shared" si="53"/>
        <v>3</v>
      </c>
      <c r="I92" s="37">
        <f t="shared" si="51"/>
        <v>0</v>
      </c>
      <c r="J92" s="37">
        <f t="shared" si="52"/>
        <v>13.62</v>
      </c>
      <c r="K92" s="38">
        <f t="shared" si="54"/>
        <v>40.86</v>
      </c>
      <c r="L92" s="244">
        <f t="shared" si="18"/>
        <v>0</v>
      </c>
      <c r="M92" s="213">
        <f t="shared" si="19"/>
        <v>0</v>
      </c>
      <c r="N92" s="98"/>
      <c r="O92" s="98">
        <f t="shared" si="37"/>
        <v>0</v>
      </c>
      <c r="P92" s="214">
        <f t="shared" si="20"/>
        <v>0</v>
      </c>
      <c r="Q92" s="98"/>
      <c r="R92" s="98">
        <f t="shared" si="38"/>
        <v>0</v>
      </c>
      <c r="S92" s="214">
        <f t="shared" si="21"/>
        <v>0</v>
      </c>
      <c r="T92" s="98"/>
      <c r="U92" s="98">
        <f t="shared" si="39"/>
        <v>0</v>
      </c>
      <c r="V92" s="214">
        <f t="shared" si="22"/>
        <v>0</v>
      </c>
      <c r="W92" s="98"/>
      <c r="X92" s="98">
        <f t="shared" si="40"/>
        <v>0</v>
      </c>
      <c r="Y92" s="214">
        <f t="shared" si="23"/>
        <v>0</v>
      </c>
      <c r="Z92" s="98"/>
      <c r="AA92" s="98">
        <f t="shared" si="41"/>
        <v>0</v>
      </c>
      <c r="AB92" s="214">
        <f t="shared" si="24"/>
        <v>0</v>
      </c>
      <c r="AC92" s="98"/>
      <c r="AD92" s="98">
        <f t="shared" si="42"/>
        <v>0</v>
      </c>
      <c r="AE92" s="214">
        <f t="shared" si="25"/>
        <v>0</v>
      </c>
      <c r="AF92" s="98"/>
      <c r="AG92" s="98">
        <f t="shared" si="43"/>
        <v>0</v>
      </c>
      <c r="AH92" s="214">
        <f t="shared" si="26"/>
        <v>0</v>
      </c>
      <c r="AI92" s="98"/>
      <c r="AJ92" s="98">
        <f t="shared" si="44"/>
        <v>0</v>
      </c>
      <c r="AK92" s="214">
        <f t="shared" si="27"/>
        <v>0</v>
      </c>
      <c r="AL92" s="98"/>
      <c r="AM92" s="98">
        <f t="shared" si="45"/>
        <v>0</v>
      </c>
      <c r="AN92" s="214">
        <f t="shared" si="28"/>
        <v>0</v>
      </c>
      <c r="AO92" s="98"/>
      <c r="AP92" s="98">
        <f t="shared" si="46"/>
        <v>0</v>
      </c>
      <c r="AQ92" s="214">
        <f t="shared" si="29"/>
        <v>0</v>
      </c>
      <c r="AR92" s="98"/>
      <c r="AS92" s="98">
        <f t="shared" si="47"/>
        <v>0</v>
      </c>
      <c r="AT92" s="214">
        <f t="shared" si="30"/>
        <v>0</v>
      </c>
      <c r="AU92" s="98"/>
      <c r="AV92" s="215">
        <f t="shared" si="48"/>
        <v>0</v>
      </c>
      <c r="AW92" s="214">
        <f t="shared" si="31"/>
        <v>0</v>
      </c>
      <c r="AX92" s="98">
        <f t="shared" si="32"/>
        <v>0</v>
      </c>
      <c r="AY92" s="204">
        <f t="shared" si="49"/>
        <v>0</v>
      </c>
      <c r="AZ92" s="214">
        <f t="shared" si="33"/>
        <v>100</v>
      </c>
      <c r="BA92" s="98">
        <f t="shared" si="34"/>
        <v>3</v>
      </c>
      <c r="BB92" s="204">
        <f t="shared" si="50"/>
        <v>40.86</v>
      </c>
    </row>
    <row r="93" spans="1:54" s="218" customFormat="1" x14ac:dyDescent="0.2">
      <c r="A93" s="324" t="s">
        <v>167</v>
      </c>
      <c r="B93" s="87" t="s">
        <v>1055</v>
      </c>
      <c r="C93" s="87" t="s">
        <v>104</v>
      </c>
      <c r="D93" s="96" t="s">
        <v>1067</v>
      </c>
      <c r="E93" s="87" t="s">
        <v>1057</v>
      </c>
      <c r="F93" s="364">
        <f>1.25*31.48</f>
        <v>39.35</v>
      </c>
      <c r="G93" s="326">
        <v>6</v>
      </c>
      <c r="H93" s="66">
        <f t="shared" si="53"/>
        <v>6</v>
      </c>
      <c r="I93" s="37">
        <f t="shared" si="51"/>
        <v>0</v>
      </c>
      <c r="J93" s="37">
        <f t="shared" si="52"/>
        <v>49.51</v>
      </c>
      <c r="K93" s="38">
        <f t="shared" si="54"/>
        <v>297.06</v>
      </c>
      <c r="L93" s="244">
        <f t="shared" si="18"/>
        <v>0</v>
      </c>
      <c r="M93" s="213">
        <f t="shared" si="19"/>
        <v>0</v>
      </c>
      <c r="N93" s="98"/>
      <c r="O93" s="98">
        <f t="shared" si="37"/>
        <v>0</v>
      </c>
      <c r="P93" s="214">
        <f t="shared" si="20"/>
        <v>0</v>
      </c>
      <c r="Q93" s="98"/>
      <c r="R93" s="98">
        <f t="shared" si="38"/>
        <v>0</v>
      </c>
      <c r="S93" s="214">
        <f t="shared" si="21"/>
        <v>0</v>
      </c>
      <c r="T93" s="98"/>
      <c r="U93" s="98">
        <f t="shared" si="39"/>
        <v>0</v>
      </c>
      <c r="V93" s="214">
        <f t="shared" si="22"/>
        <v>0</v>
      </c>
      <c r="W93" s="98"/>
      <c r="X93" s="98">
        <f t="shared" si="40"/>
        <v>0</v>
      </c>
      <c r="Y93" s="214">
        <f t="shared" si="23"/>
        <v>0</v>
      </c>
      <c r="Z93" s="98"/>
      <c r="AA93" s="98">
        <f t="shared" si="41"/>
        <v>0</v>
      </c>
      <c r="AB93" s="214">
        <f t="shared" si="24"/>
        <v>0</v>
      </c>
      <c r="AC93" s="98"/>
      <c r="AD93" s="98">
        <f t="shared" si="42"/>
        <v>0</v>
      </c>
      <c r="AE93" s="214">
        <f t="shared" si="25"/>
        <v>0</v>
      </c>
      <c r="AF93" s="98"/>
      <c r="AG93" s="98">
        <f t="shared" si="43"/>
        <v>0</v>
      </c>
      <c r="AH93" s="214">
        <f t="shared" si="26"/>
        <v>0</v>
      </c>
      <c r="AI93" s="98"/>
      <c r="AJ93" s="98">
        <f t="shared" si="44"/>
        <v>0</v>
      </c>
      <c r="AK93" s="214">
        <f t="shared" si="27"/>
        <v>0</v>
      </c>
      <c r="AL93" s="98"/>
      <c r="AM93" s="98">
        <f t="shared" si="45"/>
        <v>0</v>
      </c>
      <c r="AN93" s="214">
        <f t="shared" si="28"/>
        <v>0</v>
      </c>
      <c r="AO93" s="98"/>
      <c r="AP93" s="98">
        <f t="shared" si="46"/>
        <v>0</v>
      </c>
      <c r="AQ93" s="214">
        <f t="shared" si="29"/>
        <v>0</v>
      </c>
      <c r="AR93" s="98"/>
      <c r="AS93" s="98">
        <f t="shared" si="47"/>
        <v>0</v>
      </c>
      <c r="AT93" s="214">
        <f t="shared" si="30"/>
        <v>0</v>
      </c>
      <c r="AU93" s="98"/>
      <c r="AV93" s="215">
        <f t="shared" si="48"/>
        <v>0</v>
      </c>
      <c r="AW93" s="214">
        <f t="shared" si="31"/>
        <v>0</v>
      </c>
      <c r="AX93" s="98">
        <f t="shared" si="32"/>
        <v>0</v>
      </c>
      <c r="AY93" s="204">
        <f t="shared" si="49"/>
        <v>0</v>
      </c>
      <c r="AZ93" s="214">
        <f t="shared" si="33"/>
        <v>100</v>
      </c>
      <c r="BA93" s="98">
        <f t="shared" si="34"/>
        <v>6</v>
      </c>
      <c r="BB93" s="204">
        <f t="shared" si="50"/>
        <v>297.06</v>
      </c>
    </row>
    <row r="94" spans="1:54" s="3" customFormat="1" x14ac:dyDescent="0.2">
      <c r="A94" s="324" t="s">
        <v>1068</v>
      </c>
      <c r="B94" s="87" t="s">
        <v>1055</v>
      </c>
      <c r="C94" s="87" t="s">
        <v>104</v>
      </c>
      <c r="D94" s="96" t="s">
        <v>1069</v>
      </c>
      <c r="E94" s="87" t="s">
        <v>1057</v>
      </c>
      <c r="F94" s="364">
        <f>1.25*6.55</f>
        <v>8.1875</v>
      </c>
      <c r="G94" s="326">
        <v>3</v>
      </c>
      <c r="H94" s="66">
        <f t="shared" si="53"/>
        <v>3</v>
      </c>
      <c r="I94" s="37">
        <f t="shared" si="51"/>
        <v>0</v>
      </c>
      <c r="J94" s="37">
        <f t="shared" si="52"/>
        <v>10.3</v>
      </c>
      <c r="K94" s="38">
        <f t="shared" si="54"/>
        <v>30.9</v>
      </c>
      <c r="L94" s="244">
        <f t="shared" ref="L94:L125" si="55">TRUNC(J94*I94,2)</f>
        <v>0</v>
      </c>
      <c r="M94" s="213">
        <f t="shared" ref="M94:M125" si="56">N94/$H94*100</f>
        <v>0</v>
      </c>
      <c r="N94" s="98"/>
      <c r="O94" s="98">
        <f t="shared" si="37"/>
        <v>0</v>
      </c>
      <c r="P94" s="214">
        <f t="shared" ref="P94:P125" si="57">Q94/$H94*100</f>
        <v>0</v>
      </c>
      <c r="Q94" s="98"/>
      <c r="R94" s="98">
        <f t="shared" si="38"/>
        <v>0</v>
      </c>
      <c r="S94" s="214">
        <f t="shared" ref="S94:S125" si="58">T94/$H94*100</f>
        <v>0</v>
      </c>
      <c r="T94" s="98"/>
      <c r="U94" s="98">
        <f t="shared" si="39"/>
        <v>0</v>
      </c>
      <c r="V94" s="214">
        <f t="shared" ref="V94:V125" si="59">W94/$H94*100</f>
        <v>0</v>
      </c>
      <c r="W94" s="98"/>
      <c r="X94" s="98">
        <f t="shared" si="40"/>
        <v>0</v>
      </c>
      <c r="Y94" s="214">
        <f t="shared" ref="Y94:Y125" si="60">Z94/$H94*100</f>
        <v>0</v>
      </c>
      <c r="Z94" s="98"/>
      <c r="AA94" s="98">
        <f t="shared" si="41"/>
        <v>0</v>
      </c>
      <c r="AB94" s="214">
        <f t="shared" ref="AB94:AB125" si="61">AC94/$H94*100</f>
        <v>0</v>
      </c>
      <c r="AC94" s="98"/>
      <c r="AD94" s="98">
        <f t="shared" si="42"/>
        <v>0</v>
      </c>
      <c r="AE94" s="214">
        <f t="shared" ref="AE94:AE125" si="62">AF94/$H94*100</f>
        <v>0</v>
      </c>
      <c r="AF94" s="98"/>
      <c r="AG94" s="98">
        <f t="shared" si="43"/>
        <v>0</v>
      </c>
      <c r="AH94" s="214">
        <f t="shared" ref="AH94:AH125" si="63">AI94/$H94*100</f>
        <v>0</v>
      </c>
      <c r="AI94" s="98"/>
      <c r="AJ94" s="98">
        <f t="shared" si="44"/>
        <v>0</v>
      </c>
      <c r="AK94" s="214">
        <f t="shared" ref="AK94:AK125" si="64">AL94/$H94*100</f>
        <v>0</v>
      </c>
      <c r="AL94" s="98"/>
      <c r="AM94" s="98">
        <f t="shared" si="45"/>
        <v>0</v>
      </c>
      <c r="AN94" s="214">
        <f t="shared" ref="AN94:AN125" si="65">AO94/$H94*100</f>
        <v>0</v>
      </c>
      <c r="AO94" s="98"/>
      <c r="AP94" s="98">
        <f t="shared" si="46"/>
        <v>0</v>
      </c>
      <c r="AQ94" s="214">
        <f t="shared" ref="AQ94:AQ125" si="66">AR94/$H94*100</f>
        <v>0</v>
      </c>
      <c r="AR94" s="98"/>
      <c r="AS94" s="98">
        <f t="shared" si="47"/>
        <v>0</v>
      </c>
      <c r="AT94" s="214">
        <f t="shared" ref="AT94:AT125" si="67">AU94/$H94*100</f>
        <v>0</v>
      </c>
      <c r="AU94" s="98"/>
      <c r="AV94" s="215">
        <f t="shared" si="48"/>
        <v>0</v>
      </c>
      <c r="AW94" s="214">
        <f t="shared" ref="AW94:AW125" si="68">AX94/$H94*100</f>
        <v>0</v>
      </c>
      <c r="AX94" s="98">
        <f t="shared" ref="AX94:AX125" si="69">Q94+N94+T94+W94+Z94+AC94+AF94+AI94+AL94+AO94+AR94+AU94</f>
        <v>0</v>
      </c>
      <c r="AY94" s="204">
        <f t="shared" si="49"/>
        <v>0</v>
      </c>
      <c r="AZ94" s="214">
        <f t="shared" si="33"/>
        <v>100</v>
      </c>
      <c r="BA94" s="98">
        <f t="shared" ref="BA94:BA125" si="70">H94-AX94</f>
        <v>3</v>
      </c>
      <c r="BB94" s="204">
        <f t="shared" si="50"/>
        <v>30.9</v>
      </c>
    </row>
    <row r="95" spans="1:54" s="3" customFormat="1" x14ac:dyDescent="0.2">
      <c r="A95" s="324" t="s">
        <v>1070</v>
      </c>
      <c r="B95" s="87" t="s">
        <v>1055</v>
      </c>
      <c r="C95" s="87" t="s">
        <v>104</v>
      </c>
      <c r="D95" s="96" t="s">
        <v>1071</v>
      </c>
      <c r="E95" s="87" t="s">
        <v>1057</v>
      </c>
      <c r="F95" s="364">
        <f>1.25*200.43</f>
        <v>250.53750000000002</v>
      </c>
      <c r="G95" s="17">
        <v>3</v>
      </c>
      <c r="H95" s="66">
        <f t="shared" si="53"/>
        <v>3</v>
      </c>
      <c r="I95" s="37">
        <f t="shared" si="51"/>
        <v>0</v>
      </c>
      <c r="J95" s="37">
        <f t="shared" si="52"/>
        <v>315.2</v>
      </c>
      <c r="K95" s="38">
        <f t="shared" si="54"/>
        <v>945.6</v>
      </c>
      <c r="L95" s="244">
        <f t="shared" si="55"/>
        <v>0</v>
      </c>
      <c r="M95" s="213">
        <f t="shared" si="56"/>
        <v>0</v>
      </c>
      <c r="N95" s="98"/>
      <c r="O95" s="98">
        <f t="shared" si="37"/>
        <v>0</v>
      </c>
      <c r="P95" s="214">
        <f t="shared" si="57"/>
        <v>0</v>
      </c>
      <c r="Q95" s="98"/>
      <c r="R95" s="98">
        <f t="shared" si="38"/>
        <v>0</v>
      </c>
      <c r="S95" s="214">
        <f t="shared" si="58"/>
        <v>0</v>
      </c>
      <c r="T95" s="98"/>
      <c r="U95" s="98">
        <f t="shared" si="39"/>
        <v>0</v>
      </c>
      <c r="V95" s="214">
        <f t="shared" si="59"/>
        <v>0</v>
      </c>
      <c r="W95" s="98"/>
      <c r="X95" s="98">
        <f t="shared" si="40"/>
        <v>0</v>
      </c>
      <c r="Y95" s="214">
        <f t="shared" si="60"/>
        <v>0</v>
      </c>
      <c r="Z95" s="98"/>
      <c r="AA95" s="98">
        <f t="shared" si="41"/>
        <v>0</v>
      </c>
      <c r="AB95" s="214">
        <f t="shared" si="61"/>
        <v>0</v>
      </c>
      <c r="AC95" s="98"/>
      <c r="AD95" s="98">
        <f t="shared" si="42"/>
        <v>0</v>
      </c>
      <c r="AE95" s="214">
        <f t="shared" si="62"/>
        <v>0</v>
      </c>
      <c r="AF95" s="98"/>
      <c r="AG95" s="98">
        <f t="shared" si="43"/>
        <v>0</v>
      </c>
      <c r="AH95" s="214">
        <f t="shared" si="63"/>
        <v>0</v>
      </c>
      <c r="AI95" s="98"/>
      <c r="AJ95" s="98">
        <f t="shared" si="44"/>
        <v>0</v>
      </c>
      <c r="AK95" s="214">
        <f t="shared" si="64"/>
        <v>0</v>
      </c>
      <c r="AL95" s="98"/>
      <c r="AM95" s="98">
        <f t="shared" si="45"/>
        <v>0</v>
      </c>
      <c r="AN95" s="214">
        <f t="shared" si="65"/>
        <v>0</v>
      </c>
      <c r="AO95" s="98"/>
      <c r="AP95" s="98">
        <f t="shared" si="46"/>
        <v>0</v>
      </c>
      <c r="AQ95" s="214">
        <f t="shared" si="66"/>
        <v>0</v>
      </c>
      <c r="AR95" s="98"/>
      <c r="AS95" s="98">
        <f t="shared" si="47"/>
        <v>0</v>
      </c>
      <c r="AT95" s="214">
        <f t="shared" si="67"/>
        <v>0</v>
      </c>
      <c r="AU95" s="98"/>
      <c r="AV95" s="215">
        <f t="shared" si="48"/>
        <v>0</v>
      </c>
      <c r="AW95" s="214">
        <f t="shared" si="68"/>
        <v>0</v>
      </c>
      <c r="AX95" s="98">
        <f t="shared" si="69"/>
        <v>0</v>
      </c>
      <c r="AY95" s="204">
        <f t="shared" si="49"/>
        <v>0</v>
      </c>
      <c r="AZ95" s="214">
        <f t="shared" si="33"/>
        <v>100</v>
      </c>
      <c r="BA95" s="98">
        <f t="shared" si="70"/>
        <v>3</v>
      </c>
      <c r="BB95" s="204">
        <f t="shared" si="50"/>
        <v>945.6</v>
      </c>
    </row>
    <row r="96" spans="1:54" s="3" customFormat="1" x14ac:dyDescent="0.2">
      <c r="A96" s="324" t="s">
        <v>1072</v>
      </c>
      <c r="B96" s="87" t="s">
        <v>1055</v>
      </c>
      <c r="C96" s="87" t="s">
        <v>104</v>
      </c>
      <c r="D96" s="92" t="s">
        <v>1073</v>
      </c>
      <c r="E96" s="28" t="s">
        <v>110</v>
      </c>
      <c r="F96" s="357">
        <f>1.25*3.52</f>
        <v>4.4000000000000004</v>
      </c>
      <c r="G96" s="17">
        <v>3</v>
      </c>
      <c r="H96" s="66">
        <f t="shared" si="53"/>
        <v>3</v>
      </c>
      <c r="I96" s="37">
        <f t="shared" si="51"/>
        <v>0</v>
      </c>
      <c r="J96" s="37">
        <f t="shared" si="52"/>
        <v>5.54</v>
      </c>
      <c r="K96" s="38">
        <f t="shared" si="54"/>
        <v>16.62</v>
      </c>
      <c r="L96" s="244">
        <f t="shared" si="55"/>
        <v>0</v>
      </c>
      <c r="M96" s="213">
        <f t="shared" si="56"/>
        <v>0</v>
      </c>
      <c r="N96" s="98"/>
      <c r="O96" s="98">
        <f t="shared" si="37"/>
        <v>0</v>
      </c>
      <c r="P96" s="214">
        <f t="shared" si="57"/>
        <v>0</v>
      </c>
      <c r="Q96" s="98"/>
      <c r="R96" s="98">
        <f t="shared" si="38"/>
        <v>0</v>
      </c>
      <c r="S96" s="214">
        <f t="shared" si="58"/>
        <v>0</v>
      </c>
      <c r="T96" s="98"/>
      <c r="U96" s="98">
        <f t="shared" si="39"/>
        <v>0</v>
      </c>
      <c r="V96" s="214">
        <f t="shared" si="59"/>
        <v>0</v>
      </c>
      <c r="W96" s="98"/>
      <c r="X96" s="98">
        <f t="shared" si="40"/>
        <v>0</v>
      </c>
      <c r="Y96" s="214">
        <f t="shared" si="60"/>
        <v>0</v>
      </c>
      <c r="Z96" s="98"/>
      <c r="AA96" s="98">
        <f t="shared" si="41"/>
        <v>0</v>
      </c>
      <c r="AB96" s="214">
        <f t="shared" si="61"/>
        <v>0</v>
      </c>
      <c r="AC96" s="98"/>
      <c r="AD96" s="98">
        <f t="shared" si="42"/>
        <v>0</v>
      </c>
      <c r="AE96" s="214">
        <f t="shared" si="62"/>
        <v>0</v>
      </c>
      <c r="AF96" s="98"/>
      <c r="AG96" s="98">
        <f t="shared" si="43"/>
        <v>0</v>
      </c>
      <c r="AH96" s="214">
        <f t="shared" si="63"/>
        <v>0</v>
      </c>
      <c r="AI96" s="98"/>
      <c r="AJ96" s="98">
        <f t="shared" si="44"/>
        <v>0</v>
      </c>
      <c r="AK96" s="214">
        <f t="shared" si="64"/>
        <v>0</v>
      </c>
      <c r="AL96" s="98"/>
      <c r="AM96" s="98">
        <f t="shared" si="45"/>
        <v>0</v>
      </c>
      <c r="AN96" s="214">
        <f t="shared" si="65"/>
        <v>0</v>
      </c>
      <c r="AO96" s="98"/>
      <c r="AP96" s="98">
        <f t="shared" si="46"/>
        <v>0</v>
      </c>
      <c r="AQ96" s="214">
        <f t="shared" si="66"/>
        <v>0</v>
      </c>
      <c r="AR96" s="98"/>
      <c r="AS96" s="98">
        <f t="shared" si="47"/>
        <v>0</v>
      </c>
      <c r="AT96" s="214">
        <f t="shared" si="67"/>
        <v>0</v>
      </c>
      <c r="AU96" s="98"/>
      <c r="AV96" s="215">
        <f t="shared" si="48"/>
        <v>0</v>
      </c>
      <c r="AW96" s="214">
        <f t="shared" si="68"/>
        <v>0</v>
      </c>
      <c r="AX96" s="98">
        <f t="shared" si="69"/>
        <v>0</v>
      </c>
      <c r="AY96" s="204">
        <f t="shared" si="49"/>
        <v>0</v>
      </c>
      <c r="AZ96" s="214">
        <f t="shared" si="33"/>
        <v>100</v>
      </c>
      <c r="BA96" s="98">
        <f t="shared" si="70"/>
        <v>3</v>
      </c>
      <c r="BB96" s="204">
        <f t="shared" si="50"/>
        <v>16.62</v>
      </c>
    </row>
    <row r="97" spans="1:54" s="3" customFormat="1" x14ac:dyDescent="0.2">
      <c r="A97" s="324" t="s">
        <v>1074</v>
      </c>
      <c r="B97" s="87" t="s">
        <v>1055</v>
      </c>
      <c r="C97" s="87" t="s">
        <v>104</v>
      </c>
      <c r="D97" s="96" t="s">
        <v>1075</v>
      </c>
      <c r="E97" s="87" t="s">
        <v>1057</v>
      </c>
      <c r="F97" s="364">
        <f>1.25*159.96</f>
        <v>199.95000000000002</v>
      </c>
      <c r="G97" s="326">
        <v>3</v>
      </c>
      <c r="H97" s="66">
        <f t="shared" si="53"/>
        <v>3</v>
      </c>
      <c r="I97" s="37">
        <f t="shared" si="51"/>
        <v>0</v>
      </c>
      <c r="J97" s="37">
        <f t="shared" si="52"/>
        <v>251.56</v>
      </c>
      <c r="K97" s="38">
        <f t="shared" si="54"/>
        <v>754.68</v>
      </c>
      <c r="L97" s="244">
        <f t="shared" si="55"/>
        <v>0</v>
      </c>
      <c r="M97" s="213">
        <f t="shared" si="56"/>
        <v>0</v>
      </c>
      <c r="N97" s="98"/>
      <c r="O97" s="98">
        <f t="shared" si="37"/>
        <v>0</v>
      </c>
      <c r="P97" s="214">
        <f t="shared" si="57"/>
        <v>0</v>
      </c>
      <c r="Q97" s="98"/>
      <c r="R97" s="98">
        <f t="shared" si="38"/>
        <v>0</v>
      </c>
      <c r="S97" s="214">
        <f t="shared" si="58"/>
        <v>0</v>
      </c>
      <c r="T97" s="98"/>
      <c r="U97" s="98">
        <f t="shared" si="39"/>
        <v>0</v>
      </c>
      <c r="V97" s="214">
        <f t="shared" si="59"/>
        <v>0</v>
      </c>
      <c r="W97" s="98"/>
      <c r="X97" s="98">
        <f t="shared" si="40"/>
        <v>0</v>
      </c>
      <c r="Y97" s="214">
        <f t="shared" si="60"/>
        <v>0</v>
      </c>
      <c r="Z97" s="98"/>
      <c r="AA97" s="98">
        <f t="shared" si="41"/>
        <v>0</v>
      </c>
      <c r="AB97" s="214">
        <f t="shared" si="61"/>
        <v>0</v>
      </c>
      <c r="AC97" s="98"/>
      <c r="AD97" s="98">
        <f t="shared" si="42"/>
        <v>0</v>
      </c>
      <c r="AE97" s="214">
        <f t="shared" si="62"/>
        <v>0</v>
      </c>
      <c r="AF97" s="98"/>
      <c r="AG97" s="98">
        <f t="shared" si="43"/>
        <v>0</v>
      </c>
      <c r="AH97" s="214">
        <f t="shared" si="63"/>
        <v>0</v>
      </c>
      <c r="AI97" s="98"/>
      <c r="AJ97" s="98">
        <f t="shared" si="44"/>
        <v>0</v>
      </c>
      <c r="AK97" s="214">
        <f t="shared" si="64"/>
        <v>0</v>
      </c>
      <c r="AL97" s="98"/>
      <c r="AM97" s="98">
        <f t="shared" si="45"/>
        <v>0</v>
      </c>
      <c r="AN97" s="214">
        <f t="shared" si="65"/>
        <v>0</v>
      </c>
      <c r="AO97" s="98"/>
      <c r="AP97" s="98">
        <f t="shared" si="46"/>
        <v>0</v>
      </c>
      <c r="AQ97" s="214">
        <f t="shared" si="66"/>
        <v>0</v>
      </c>
      <c r="AR97" s="98"/>
      <c r="AS97" s="98">
        <f t="shared" si="47"/>
        <v>0</v>
      </c>
      <c r="AT97" s="214">
        <f t="shared" si="67"/>
        <v>0</v>
      </c>
      <c r="AU97" s="98"/>
      <c r="AV97" s="215">
        <f t="shared" si="48"/>
        <v>0</v>
      </c>
      <c r="AW97" s="214">
        <f t="shared" si="68"/>
        <v>0</v>
      </c>
      <c r="AX97" s="98">
        <f t="shared" si="69"/>
        <v>0</v>
      </c>
      <c r="AY97" s="204">
        <f t="shared" si="49"/>
        <v>0</v>
      </c>
      <c r="AZ97" s="214">
        <f t="shared" si="33"/>
        <v>100</v>
      </c>
      <c r="BA97" s="98">
        <f t="shared" si="70"/>
        <v>3</v>
      </c>
      <c r="BB97" s="204">
        <f t="shared" si="50"/>
        <v>754.68</v>
      </c>
    </row>
    <row r="98" spans="1:54" s="3" customFormat="1" x14ac:dyDescent="0.2">
      <c r="A98" s="324" t="s">
        <v>1076</v>
      </c>
      <c r="B98" s="87" t="s">
        <v>1055</v>
      </c>
      <c r="C98" s="87" t="s">
        <v>104</v>
      </c>
      <c r="D98" s="96" t="s">
        <v>1077</v>
      </c>
      <c r="E98" s="87" t="s">
        <v>1057</v>
      </c>
      <c r="F98" s="364">
        <f>1.25*71.22</f>
        <v>89.025000000000006</v>
      </c>
      <c r="G98" s="17">
        <v>1</v>
      </c>
      <c r="H98" s="66">
        <f t="shared" si="53"/>
        <v>1</v>
      </c>
      <c r="I98" s="37">
        <f t="shared" si="51"/>
        <v>0</v>
      </c>
      <c r="J98" s="37">
        <f t="shared" si="52"/>
        <v>112</v>
      </c>
      <c r="K98" s="38">
        <f t="shared" si="54"/>
        <v>112</v>
      </c>
      <c r="L98" s="244">
        <f t="shared" si="55"/>
        <v>0</v>
      </c>
      <c r="M98" s="213">
        <f t="shared" si="56"/>
        <v>0</v>
      </c>
      <c r="N98" s="98"/>
      <c r="O98" s="98">
        <f t="shared" si="37"/>
        <v>0</v>
      </c>
      <c r="P98" s="214">
        <f t="shared" si="57"/>
        <v>0</v>
      </c>
      <c r="Q98" s="98"/>
      <c r="R98" s="98">
        <f t="shared" si="38"/>
        <v>0</v>
      </c>
      <c r="S98" s="214">
        <f t="shared" si="58"/>
        <v>0</v>
      </c>
      <c r="T98" s="98"/>
      <c r="U98" s="98">
        <f t="shared" si="39"/>
        <v>0</v>
      </c>
      <c r="V98" s="214">
        <f t="shared" si="59"/>
        <v>0</v>
      </c>
      <c r="W98" s="98"/>
      <c r="X98" s="98">
        <f t="shared" si="40"/>
        <v>0</v>
      </c>
      <c r="Y98" s="214">
        <f t="shared" si="60"/>
        <v>0</v>
      </c>
      <c r="Z98" s="98"/>
      <c r="AA98" s="98">
        <f t="shared" si="41"/>
        <v>0</v>
      </c>
      <c r="AB98" s="214">
        <f t="shared" si="61"/>
        <v>0</v>
      </c>
      <c r="AC98" s="98"/>
      <c r="AD98" s="98">
        <f t="shared" si="42"/>
        <v>0</v>
      </c>
      <c r="AE98" s="214">
        <f t="shared" si="62"/>
        <v>0</v>
      </c>
      <c r="AF98" s="98"/>
      <c r="AG98" s="98">
        <f t="shared" si="43"/>
        <v>0</v>
      </c>
      <c r="AH98" s="214">
        <f t="shared" si="63"/>
        <v>0</v>
      </c>
      <c r="AI98" s="98"/>
      <c r="AJ98" s="98">
        <f t="shared" si="44"/>
        <v>0</v>
      </c>
      <c r="AK98" s="214">
        <f t="shared" si="64"/>
        <v>0</v>
      </c>
      <c r="AL98" s="98"/>
      <c r="AM98" s="98">
        <f t="shared" si="45"/>
        <v>0</v>
      </c>
      <c r="AN98" s="214">
        <f t="shared" si="65"/>
        <v>0</v>
      </c>
      <c r="AO98" s="98"/>
      <c r="AP98" s="98">
        <f t="shared" si="46"/>
        <v>0</v>
      </c>
      <c r="AQ98" s="214">
        <f t="shared" si="66"/>
        <v>0</v>
      </c>
      <c r="AR98" s="98"/>
      <c r="AS98" s="98">
        <f t="shared" si="47"/>
        <v>0</v>
      </c>
      <c r="AT98" s="214">
        <f t="shared" si="67"/>
        <v>0</v>
      </c>
      <c r="AU98" s="98"/>
      <c r="AV98" s="215">
        <f t="shared" si="48"/>
        <v>0</v>
      </c>
      <c r="AW98" s="214">
        <f t="shared" si="68"/>
        <v>0</v>
      </c>
      <c r="AX98" s="98">
        <f t="shared" si="69"/>
        <v>0</v>
      </c>
      <c r="AY98" s="204">
        <f t="shared" si="49"/>
        <v>0</v>
      </c>
      <c r="AZ98" s="214">
        <f t="shared" si="33"/>
        <v>100</v>
      </c>
      <c r="BA98" s="98">
        <f t="shared" si="70"/>
        <v>1</v>
      </c>
      <c r="BB98" s="204">
        <f t="shared" si="50"/>
        <v>112</v>
      </c>
    </row>
    <row r="99" spans="1:54" s="3" customFormat="1" x14ac:dyDescent="0.2">
      <c r="A99" s="324" t="s">
        <v>1078</v>
      </c>
      <c r="B99" s="87" t="s">
        <v>1055</v>
      </c>
      <c r="C99" s="87" t="s">
        <v>104</v>
      </c>
      <c r="D99" s="92" t="s">
        <v>1079</v>
      </c>
      <c r="E99" s="28" t="s">
        <v>110</v>
      </c>
      <c r="F99" s="357">
        <f>1.25*5.34</f>
        <v>6.6749999999999998</v>
      </c>
      <c r="G99" s="17">
        <v>1</v>
      </c>
      <c r="H99" s="66">
        <f t="shared" si="53"/>
        <v>1</v>
      </c>
      <c r="I99" s="37">
        <f t="shared" si="51"/>
        <v>0</v>
      </c>
      <c r="J99" s="37">
        <f t="shared" si="52"/>
        <v>8.4</v>
      </c>
      <c r="K99" s="38">
        <f t="shared" si="54"/>
        <v>8.4</v>
      </c>
      <c r="L99" s="244">
        <f t="shared" si="55"/>
        <v>0</v>
      </c>
      <c r="M99" s="213">
        <f t="shared" si="56"/>
        <v>0</v>
      </c>
      <c r="N99" s="98"/>
      <c r="O99" s="98">
        <f t="shared" si="37"/>
        <v>0</v>
      </c>
      <c r="P99" s="214">
        <f t="shared" si="57"/>
        <v>0</v>
      </c>
      <c r="Q99" s="98"/>
      <c r="R99" s="98">
        <f t="shared" si="38"/>
        <v>0</v>
      </c>
      <c r="S99" s="214">
        <f t="shared" si="58"/>
        <v>0</v>
      </c>
      <c r="T99" s="98"/>
      <c r="U99" s="98">
        <f t="shared" si="39"/>
        <v>0</v>
      </c>
      <c r="V99" s="214">
        <f t="shared" si="59"/>
        <v>0</v>
      </c>
      <c r="W99" s="98"/>
      <c r="X99" s="98">
        <f t="shared" si="40"/>
        <v>0</v>
      </c>
      <c r="Y99" s="214">
        <f t="shared" si="60"/>
        <v>0</v>
      </c>
      <c r="Z99" s="98"/>
      <c r="AA99" s="98">
        <f t="shared" si="41"/>
        <v>0</v>
      </c>
      <c r="AB99" s="214">
        <f t="shared" si="61"/>
        <v>0</v>
      </c>
      <c r="AC99" s="98"/>
      <c r="AD99" s="98">
        <f t="shared" si="42"/>
        <v>0</v>
      </c>
      <c r="AE99" s="214">
        <f t="shared" si="62"/>
        <v>0</v>
      </c>
      <c r="AF99" s="98"/>
      <c r="AG99" s="98">
        <f t="shared" si="43"/>
        <v>0</v>
      </c>
      <c r="AH99" s="214">
        <f t="shared" si="63"/>
        <v>0</v>
      </c>
      <c r="AI99" s="98"/>
      <c r="AJ99" s="98">
        <f t="shared" si="44"/>
        <v>0</v>
      </c>
      <c r="AK99" s="214">
        <f t="shared" si="64"/>
        <v>0</v>
      </c>
      <c r="AL99" s="98"/>
      <c r="AM99" s="98">
        <f t="shared" si="45"/>
        <v>0</v>
      </c>
      <c r="AN99" s="214">
        <f t="shared" si="65"/>
        <v>0</v>
      </c>
      <c r="AO99" s="98"/>
      <c r="AP99" s="98">
        <f t="shared" si="46"/>
        <v>0</v>
      </c>
      <c r="AQ99" s="214">
        <f t="shared" si="66"/>
        <v>0</v>
      </c>
      <c r="AR99" s="98"/>
      <c r="AS99" s="98">
        <f t="shared" si="47"/>
        <v>0</v>
      </c>
      <c r="AT99" s="214">
        <f t="shared" si="67"/>
        <v>0</v>
      </c>
      <c r="AU99" s="98"/>
      <c r="AV99" s="215">
        <f t="shared" si="48"/>
        <v>0</v>
      </c>
      <c r="AW99" s="214">
        <f t="shared" si="68"/>
        <v>0</v>
      </c>
      <c r="AX99" s="98">
        <f t="shared" si="69"/>
        <v>0</v>
      </c>
      <c r="AY99" s="204">
        <f t="shared" si="49"/>
        <v>0</v>
      </c>
      <c r="AZ99" s="214">
        <f t="shared" ref="AZ99:AZ125" si="71">BA99/$H99*100</f>
        <v>100</v>
      </c>
      <c r="BA99" s="98">
        <f t="shared" si="70"/>
        <v>1</v>
      </c>
      <c r="BB99" s="204">
        <f t="shared" si="50"/>
        <v>8.4</v>
      </c>
    </row>
    <row r="100" spans="1:54" s="3" customFormat="1" x14ac:dyDescent="0.2">
      <c r="A100" s="324" t="s">
        <v>1080</v>
      </c>
      <c r="B100" s="87" t="s">
        <v>1055</v>
      </c>
      <c r="C100" s="87" t="s">
        <v>104</v>
      </c>
      <c r="D100" s="96" t="s">
        <v>1081</v>
      </c>
      <c r="E100" s="87" t="s">
        <v>1057</v>
      </c>
      <c r="F100" s="364">
        <f>1.25*18.38</f>
        <v>22.974999999999998</v>
      </c>
      <c r="G100" s="17">
        <v>3</v>
      </c>
      <c r="H100" s="66">
        <f t="shared" si="53"/>
        <v>3</v>
      </c>
      <c r="I100" s="37">
        <f t="shared" si="51"/>
        <v>0</v>
      </c>
      <c r="J100" s="37">
        <f t="shared" si="52"/>
        <v>28.9</v>
      </c>
      <c r="K100" s="38">
        <f t="shared" si="54"/>
        <v>86.7</v>
      </c>
      <c r="L100" s="244">
        <f t="shared" si="55"/>
        <v>0</v>
      </c>
      <c r="M100" s="213">
        <f t="shared" si="56"/>
        <v>0</v>
      </c>
      <c r="N100" s="98"/>
      <c r="O100" s="98">
        <f t="shared" si="37"/>
        <v>0</v>
      </c>
      <c r="P100" s="214">
        <f t="shared" si="57"/>
        <v>0</v>
      </c>
      <c r="Q100" s="98"/>
      <c r="R100" s="98">
        <f t="shared" si="38"/>
        <v>0</v>
      </c>
      <c r="S100" s="214">
        <f t="shared" si="58"/>
        <v>0</v>
      </c>
      <c r="T100" s="98"/>
      <c r="U100" s="98">
        <f t="shared" si="39"/>
        <v>0</v>
      </c>
      <c r="V100" s="214">
        <f t="shared" si="59"/>
        <v>0</v>
      </c>
      <c r="W100" s="98"/>
      <c r="X100" s="98">
        <f t="shared" si="40"/>
        <v>0</v>
      </c>
      <c r="Y100" s="214">
        <f t="shared" si="60"/>
        <v>0</v>
      </c>
      <c r="Z100" s="98"/>
      <c r="AA100" s="98">
        <f t="shared" si="41"/>
        <v>0</v>
      </c>
      <c r="AB100" s="214">
        <f t="shared" si="61"/>
        <v>0</v>
      </c>
      <c r="AC100" s="98"/>
      <c r="AD100" s="98">
        <f t="shared" si="42"/>
        <v>0</v>
      </c>
      <c r="AE100" s="214">
        <f t="shared" si="62"/>
        <v>0</v>
      </c>
      <c r="AF100" s="98"/>
      <c r="AG100" s="98">
        <f t="shared" si="43"/>
        <v>0</v>
      </c>
      <c r="AH100" s="214">
        <f t="shared" si="63"/>
        <v>0</v>
      </c>
      <c r="AI100" s="98"/>
      <c r="AJ100" s="98">
        <f t="shared" si="44"/>
        <v>0</v>
      </c>
      <c r="AK100" s="214">
        <f t="shared" si="64"/>
        <v>0</v>
      </c>
      <c r="AL100" s="98"/>
      <c r="AM100" s="98">
        <f t="shared" si="45"/>
        <v>0</v>
      </c>
      <c r="AN100" s="214">
        <f t="shared" si="65"/>
        <v>0</v>
      </c>
      <c r="AO100" s="98"/>
      <c r="AP100" s="98">
        <f t="shared" si="46"/>
        <v>0</v>
      </c>
      <c r="AQ100" s="214">
        <f t="shared" si="66"/>
        <v>0</v>
      </c>
      <c r="AR100" s="98"/>
      <c r="AS100" s="98">
        <f t="shared" si="47"/>
        <v>0</v>
      </c>
      <c r="AT100" s="214">
        <f t="shared" si="67"/>
        <v>0</v>
      </c>
      <c r="AU100" s="98"/>
      <c r="AV100" s="215">
        <f t="shared" si="48"/>
        <v>0</v>
      </c>
      <c r="AW100" s="214">
        <f t="shared" si="68"/>
        <v>0</v>
      </c>
      <c r="AX100" s="98">
        <f t="shared" si="69"/>
        <v>0</v>
      </c>
      <c r="AY100" s="204">
        <f t="shared" si="49"/>
        <v>0</v>
      </c>
      <c r="AZ100" s="214">
        <f t="shared" si="71"/>
        <v>100</v>
      </c>
      <c r="BA100" s="98">
        <f t="shared" si="70"/>
        <v>3</v>
      </c>
      <c r="BB100" s="204">
        <f t="shared" si="50"/>
        <v>86.7</v>
      </c>
    </row>
    <row r="101" spans="1:54" s="3" customFormat="1" x14ac:dyDescent="0.2">
      <c r="A101" s="324" t="s">
        <v>1082</v>
      </c>
      <c r="B101" s="87" t="s">
        <v>1055</v>
      </c>
      <c r="C101" s="87" t="s">
        <v>104</v>
      </c>
      <c r="D101" s="96" t="s">
        <v>1083</v>
      </c>
      <c r="E101" s="87" t="s">
        <v>1057</v>
      </c>
      <c r="F101" s="364">
        <f>1.25*83.21</f>
        <v>104.01249999999999</v>
      </c>
      <c r="G101" s="17">
        <v>1</v>
      </c>
      <c r="H101" s="66">
        <f t="shared" si="53"/>
        <v>1</v>
      </c>
      <c r="I101" s="37">
        <f t="shared" si="51"/>
        <v>0</v>
      </c>
      <c r="J101" s="37">
        <f t="shared" si="52"/>
        <v>130.86000000000001</v>
      </c>
      <c r="K101" s="38">
        <f t="shared" si="54"/>
        <v>130.86000000000001</v>
      </c>
      <c r="L101" s="244">
        <f t="shared" si="55"/>
        <v>0</v>
      </c>
      <c r="M101" s="213">
        <f t="shared" si="56"/>
        <v>0</v>
      </c>
      <c r="N101" s="98"/>
      <c r="O101" s="98">
        <f t="shared" si="37"/>
        <v>0</v>
      </c>
      <c r="P101" s="214">
        <f t="shared" si="57"/>
        <v>0</v>
      </c>
      <c r="Q101" s="98"/>
      <c r="R101" s="98">
        <f t="shared" si="38"/>
        <v>0</v>
      </c>
      <c r="S101" s="214">
        <f t="shared" si="58"/>
        <v>0</v>
      </c>
      <c r="T101" s="98"/>
      <c r="U101" s="98">
        <f t="shared" si="39"/>
        <v>0</v>
      </c>
      <c r="V101" s="214">
        <f t="shared" si="59"/>
        <v>0</v>
      </c>
      <c r="W101" s="98"/>
      <c r="X101" s="98">
        <f t="shared" si="40"/>
        <v>0</v>
      </c>
      <c r="Y101" s="214">
        <f t="shared" si="60"/>
        <v>0</v>
      </c>
      <c r="Z101" s="98"/>
      <c r="AA101" s="98">
        <f t="shared" si="41"/>
        <v>0</v>
      </c>
      <c r="AB101" s="214">
        <f t="shared" si="61"/>
        <v>0</v>
      </c>
      <c r="AC101" s="98"/>
      <c r="AD101" s="98">
        <f t="shared" si="42"/>
        <v>0</v>
      </c>
      <c r="AE101" s="214">
        <f t="shared" si="62"/>
        <v>0</v>
      </c>
      <c r="AF101" s="98"/>
      <c r="AG101" s="98">
        <f t="shared" si="43"/>
        <v>0</v>
      </c>
      <c r="AH101" s="214">
        <f t="shared" si="63"/>
        <v>0</v>
      </c>
      <c r="AI101" s="98"/>
      <c r="AJ101" s="98">
        <f t="shared" si="44"/>
        <v>0</v>
      </c>
      <c r="AK101" s="214">
        <f t="shared" si="64"/>
        <v>0</v>
      </c>
      <c r="AL101" s="98"/>
      <c r="AM101" s="98">
        <f t="shared" si="45"/>
        <v>0</v>
      </c>
      <c r="AN101" s="214">
        <f t="shared" si="65"/>
        <v>0</v>
      </c>
      <c r="AO101" s="98"/>
      <c r="AP101" s="98">
        <f t="shared" si="46"/>
        <v>0</v>
      </c>
      <c r="AQ101" s="214">
        <f t="shared" si="66"/>
        <v>0</v>
      </c>
      <c r="AR101" s="98"/>
      <c r="AS101" s="98">
        <f t="shared" si="47"/>
        <v>0</v>
      </c>
      <c r="AT101" s="214">
        <f t="shared" si="67"/>
        <v>0</v>
      </c>
      <c r="AU101" s="98"/>
      <c r="AV101" s="215">
        <f t="shared" si="48"/>
        <v>0</v>
      </c>
      <c r="AW101" s="214">
        <f t="shared" si="68"/>
        <v>0</v>
      </c>
      <c r="AX101" s="98">
        <f t="shared" si="69"/>
        <v>0</v>
      </c>
      <c r="AY101" s="204">
        <f t="shared" si="49"/>
        <v>0</v>
      </c>
      <c r="AZ101" s="214">
        <f t="shared" si="71"/>
        <v>100</v>
      </c>
      <c r="BA101" s="98">
        <f t="shared" si="70"/>
        <v>1</v>
      </c>
      <c r="BB101" s="204">
        <f t="shared" si="50"/>
        <v>130.86000000000001</v>
      </c>
    </row>
    <row r="102" spans="1:54" s="3" customFormat="1" ht="28.5" x14ac:dyDescent="0.2">
      <c r="A102" s="324" t="s">
        <v>1084</v>
      </c>
      <c r="B102" s="87" t="s">
        <v>1055</v>
      </c>
      <c r="C102" s="87" t="s">
        <v>104</v>
      </c>
      <c r="D102" s="92" t="s">
        <v>988</v>
      </c>
      <c r="E102" s="28" t="s">
        <v>110</v>
      </c>
      <c r="F102" s="357">
        <f>1.25*1129.75</f>
        <v>1412.1875</v>
      </c>
      <c r="G102" s="17">
        <v>1</v>
      </c>
      <c r="H102" s="66">
        <f t="shared" si="53"/>
        <v>1</v>
      </c>
      <c r="I102" s="37">
        <f t="shared" si="51"/>
        <v>0</v>
      </c>
      <c r="J102" s="37">
        <f t="shared" si="52"/>
        <v>1776.67</v>
      </c>
      <c r="K102" s="38">
        <f t="shared" si="54"/>
        <v>1776.67</v>
      </c>
      <c r="L102" s="244">
        <f t="shared" si="55"/>
        <v>0</v>
      </c>
      <c r="M102" s="213">
        <f t="shared" si="56"/>
        <v>0</v>
      </c>
      <c r="N102" s="98"/>
      <c r="O102" s="98">
        <f t="shared" si="37"/>
        <v>0</v>
      </c>
      <c r="P102" s="214">
        <f t="shared" si="57"/>
        <v>0</v>
      </c>
      <c r="Q102" s="98"/>
      <c r="R102" s="98">
        <f t="shared" si="38"/>
        <v>0</v>
      </c>
      <c r="S102" s="214">
        <f t="shared" si="58"/>
        <v>0</v>
      </c>
      <c r="T102" s="98"/>
      <c r="U102" s="98">
        <f t="shared" si="39"/>
        <v>0</v>
      </c>
      <c r="V102" s="214">
        <f t="shared" si="59"/>
        <v>0</v>
      </c>
      <c r="W102" s="98"/>
      <c r="X102" s="98">
        <f t="shared" si="40"/>
        <v>0</v>
      </c>
      <c r="Y102" s="214">
        <f t="shared" si="60"/>
        <v>0</v>
      </c>
      <c r="Z102" s="98"/>
      <c r="AA102" s="98">
        <f t="shared" si="41"/>
        <v>0</v>
      </c>
      <c r="AB102" s="214">
        <f t="shared" si="61"/>
        <v>0</v>
      </c>
      <c r="AC102" s="98"/>
      <c r="AD102" s="98">
        <f t="shared" si="42"/>
        <v>0</v>
      </c>
      <c r="AE102" s="214">
        <f t="shared" si="62"/>
        <v>0</v>
      </c>
      <c r="AF102" s="98"/>
      <c r="AG102" s="98">
        <f t="shared" si="43"/>
        <v>0</v>
      </c>
      <c r="AH102" s="214">
        <f t="shared" si="63"/>
        <v>0</v>
      </c>
      <c r="AI102" s="98"/>
      <c r="AJ102" s="98">
        <f t="shared" si="44"/>
        <v>0</v>
      </c>
      <c r="AK102" s="214">
        <f t="shared" si="64"/>
        <v>0</v>
      </c>
      <c r="AL102" s="98"/>
      <c r="AM102" s="98">
        <f t="shared" si="45"/>
        <v>0</v>
      </c>
      <c r="AN102" s="214">
        <f t="shared" si="65"/>
        <v>0</v>
      </c>
      <c r="AO102" s="98"/>
      <c r="AP102" s="98">
        <f t="shared" si="46"/>
        <v>0</v>
      </c>
      <c r="AQ102" s="214">
        <f t="shared" si="66"/>
        <v>0</v>
      </c>
      <c r="AR102" s="98"/>
      <c r="AS102" s="98">
        <f t="shared" si="47"/>
        <v>0</v>
      </c>
      <c r="AT102" s="214">
        <f t="shared" si="67"/>
        <v>0</v>
      </c>
      <c r="AU102" s="98"/>
      <c r="AV102" s="215">
        <f t="shared" si="48"/>
        <v>0</v>
      </c>
      <c r="AW102" s="214">
        <f t="shared" si="68"/>
        <v>0</v>
      </c>
      <c r="AX102" s="98">
        <f t="shared" si="69"/>
        <v>0</v>
      </c>
      <c r="AY102" s="204">
        <f t="shared" si="49"/>
        <v>0</v>
      </c>
      <c r="AZ102" s="214">
        <f t="shared" si="71"/>
        <v>100</v>
      </c>
      <c r="BA102" s="98">
        <f t="shared" si="70"/>
        <v>1</v>
      </c>
      <c r="BB102" s="204">
        <f t="shared" si="50"/>
        <v>1776.67</v>
      </c>
    </row>
    <row r="103" spans="1:54" s="3" customFormat="1" x14ac:dyDescent="0.2">
      <c r="A103" s="324" t="s">
        <v>1085</v>
      </c>
      <c r="B103" s="87" t="s">
        <v>1055</v>
      </c>
      <c r="C103" s="87" t="s">
        <v>104</v>
      </c>
      <c r="D103" s="96" t="s">
        <v>1086</v>
      </c>
      <c r="E103" s="87" t="s">
        <v>221</v>
      </c>
      <c r="F103" s="364">
        <f>1.25*7.35</f>
        <v>9.1875</v>
      </c>
      <c r="G103" s="326">
        <v>0.5</v>
      </c>
      <c r="H103" s="66">
        <f t="shared" si="53"/>
        <v>0.5</v>
      </c>
      <c r="I103" s="37">
        <f t="shared" si="51"/>
        <v>0</v>
      </c>
      <c r="J103" s="37">
        <f t="shared" si="52"/>
        <v>11.56</v>
      </c>
      <c r="K103" s="38">
        <f t="shared" si="54"/>
        <v>5.78</v>
      </c>
      <c r="L103" s="244">
        <f t="shared" si="55"/>
        <v>0</v>
      </c>
      <c r="M103" s="213">
        <f t="shared" si="56"/>
        <v>0</v>
      </c>
      <c r="N103" s="98"/>
      <c r="O103" s="98">
        <f t="shared" si="37"/>
        <v>0</v>
      </c>
      <c r="P103" s="214">
        <f t="shared" si="57"/>
        <v>0</v>
      </c>
      <c r="Q103" s="98"/>
      <c r="R103" s="98">
        <f t="shared" si="38"/>
        <v>0</v>
      </c>
      <c r="S103" s="214">
        <f t="shared" si="58"/>
        <v>0</v>
      </c>
      <c r="T103" s="98"/>
      <c r="U103" s="98">
        <f t="shared" si="39"/>
        <v>0</v>
      </c>
      <c r="V103" s="214">
        <f t="shared" si="59"/>
        <v>0</v>
      </c>
      <c r="W103" s="98"/>
      <c r="X103" s="98">
        <f t="shared" si="40"/>
        <v>0</v>
      </c>
      <c r="Y103" s="214">
        <f t="shared" si="60"/>
        <v>0</v>
      </c>
      <c r="Z103" s="98"/>
      <c r="AA103" s="98">
        <f t="shared" si="41"/>
        <v>0</v>
      </c>
      <c r="AB103" s="214">
        <f t="shared" si="61"/>
        <v>0</v>
      </c>
      <c r="AC103" s="98"/>
      <c r="AD103" s="98">
        <f t="shared" si="42"/>
        <v>0</v>
      </c>
      <c r="AE103" s="214">
        <f t="shared" si="62"/>
        <v>0</v>
      </c>
      <c r="AF103" s="98"/>
      <c r="AG103" s="98">
        <f t="shared" si="43"/>
        <v>0</v>
      </c>
      <c r="AH103" s="214">
        <f t="shared" si="63"/>
        <v>0</v>
      </c>
      <c r="AI103" s="98"/>
      <c r="AJ103" s="98">
        <f t="shared" si="44"/>
        <v>0</v>
      </c>
      <c r="AK103" s="214">
        <f t="shared" si="64"/>
        <v>0</v>
      </c>
      <c r="AL103" s="98"/>
      <c r="AM103" s="98">
        <f t="shared" si="45"/>
        <v>0</v>
      </c>
      <c r="AN103" s="214">
        <f t="shared" si="65"/>
        <v>0</v>
      </c>
      <c r="AO103" s="98"/>
      <c r="AP103" s="98">
        <f t="shared" si="46"/>
        <v>0</v>
      </c>
      <c r="AQ103" s="214">
        <f t="shared" si="66"/>
        <v>0</v>
      </c>
      <c r="AR103" s="98"/>
      <c r="AS103" s="98">
        <f t="shared" si="47"/>
        <v>0</v>
      </c>
      <c r="AT103" s="214">
        <f t="shared" si="67"/>
        <v>0</v>
      </c>
      <c r="AU103" s="98"/>
      <c r="AV103" s="215">
        <f t="shared" si="48"/>
        <v>0</v>
      </c>
      <c r="AW103" s="214">
        <f t="shared" si="68"/>
        <v>0</v>
      </c>
      <c r="AX103" s="98">
        <f t="shared" si="69"/>
        <v>0</v>
      </c>
      <c r="AY103" s="204">
        <f t="shared" si="49"/>
        <v>0</v>
      </c>
      <c r="AZ103" s="214">
        <f t="shared" si="71"/>
        <v>100</v>
      </c>
      <c r="BA103" s="98">
        <f t="shared" si="70"/>
        <v>0.5</v>
      </c>
      <c r="BB103" s="204">
        <f t="shared" si="50"/>
        <v>5.78</v>
      </c>
    </row>
    <row r="104" spans="1:54" s="3" customFormat="1" ht="28.5" x14ac:dyDescent="0.2">
      <c r="A104" s="324" t="s">
        <v>1087</v>
      </c>
      <c r="B104" s="87" t="s">
        <v>1055</v>
      </c>
      <c r="C104" s="87" t="s">
        <v>104</v>
      </c>
      <c r="D104" s="92" t="s">
        <v>1088</v>
      </c>
      <c r="E104" s="28" t="s">
        <v>1089</v>
      </c>
      <c r="F104" s="357">
        <f>1.25*29.98</f>
        <v>37.475000000000001</v>
      </c>
      <c r="G104" s="17">
        <v>8</v>
      </c>
      <c r="H104" s="66">
        <f t="shared" si="53"/>
        <v>8</v>
      </c>
      <c r="I104" s="37">
        <f t="shared" si="51"/>
        <v>0</v>
      </c>
      <c r="J104" s="37">
        <f t="shared" si="52"/>
        <v>47.15</v>
      </c>
      <c r="K104" s="38">
        <f t="shared" si="54"/>
        <v>377.2</v>
      </c>
      <c r="L104" s="244">
        <f t="shared" si="55"/>
        <v>0</v>
      </c>
      <c r="M104" s="213">
        <f t="shared" si="56"/>
        <v>0</v>
      </c>
      <c r="N104" s="98"/>
      <c r="O104" s="98">
        <f t="shared" si="37"/>
        <v>0</v>
      </c>
      <c r="P104" s="214">
        <f t="shared" si="57"/>
        <v>0</v>
      </c>
      <c r="Q104" s="98"/>
      <c r="R104" s="98">
        <f t="shared" si="38"/>
        <v>0</v>
      </c>
      <c r="S104" s="214">
        <f t="shared" si="58"/>
        <v>0</v>
      </c>
      <c r="T104" s="98"/>
      <c r="U104" s="98">
        <f t="shared" si="39"/>
        <v>0</v>
      </c>
      <c r="V104" s="214">
        <f t="shared" si="59"/>
        <v>0</v>
      </c>
      <c r="W104" s="98"/>
      <c r="X104" s="98">
        <f t="shared" si="40"/>
        <v>0</v>
      </c>
      <c r="Y104" s="214">
        <f t="shared" si="60"/>
        <v>0</v>
      </c>
      <c r="Z104" s="98"/>
      <c r="AA104" s="98">
        <f t="shared" si="41"/>
        <v>0</v>
      </c>
      <c r="AB104" s="214">
        <f t="shared" si="61"/>
        <v>0</v>
      </c>
      <c r="AC104" s="98"/>
      <c r="AD104" s="98">
        <f t="shared" si="42"/>
        <v>0</v>
      </c>
      <c r="AE104" s="214">
        <f t="shared" si="62"/>
        <v>0</v>
      </c>
      <c r="AF104" s="98"/>
      <c r="AG104" s="98">
        <f t="shared" si="43"/>
        <v>0</v>
      </c>
      <c r="AH104" s="214">
        <f t="shared" si="63"/>
        <v>0</v>
      </c>
      <c r="AI104" s="98"/>
      <c r="AJ104" s="98">
        <f t="shared" si="44"/>
        <v>0</v>
      </c>
      <c r="AK104" s="214">
        <f t="shared" si="64"/>
        <v>0</v>
      </c>
      <c r="AL104" s="98"/>
      <c r="AM104" s="98">
        <f t="shared" si="45"/>
        <v>0</v>
      </c>
      <c r="AN104" s="214">
        <f t="shared" si="65"/>
        <v>0</v>
      </c>
      <c r="AO104" s="98"/>
      <c r="AP104" s="98">
        <f t="shared" si="46"/>
        <v>0</v>
      </c>
      <c r="AQ104" s="214">
        <f t="shared" si="66"/>
        <v>0</v>
      </c>
      <c r="AR104" s="98"/>
      <c r="AS104" s="98">
        <f t="shared" si="47"/>
        <v>0</v>
      </c>
      <c r="AT104" s="214">
        <f t="shared" si="67"/>
        <v>0</v>
      </c>
      <c r="AU104" s="98"/>
      <c r="AV104" s="215">
        <f t="shared" si="48"/>
        <v>0</v>
      </c>
      <c r="AW104" s="214">
        <f t="shared" si="68"/>
        <v>0</v>
      </c>
      <c r="AX104" s="98">
        <f t="shared" si="69"/>
        <v>0</v>
      </c>
      <c r="AY104" s="204">
        <f t="shared" si="49"/>
        <v>0</v>
      </c>
      <c r="AZ104" s="214">
        <f t="shared" si="71"/>
        <v>100</v>
      </c>
      <c r="BA104" s="98">
        <f t="shared" si="70"/>
        <v>8</v>
      </c>
      <c r="BB104" s="204">
        <f t="shared" si="50"/>
        <v>377.2</v>
      </c>
    </row>
    <row r="105" spans="1:54" s="3" customFormat="1" ht="28.5" x14ac:dyDescent="0.2">
      <c r="A105" s="324" t="s">
        <v>1090</v>
      </c>
      <c r="B105" s="87" t="s">
        <v>1055</v>
      </c>
      <c r="C105" s="87" t="s">
        <v>104</v>
      </c>
      <c r="D105" s="92" t="s">
        <v>1091</v>
      </c>
      <c r="E105" s="28" t="s">
        <v>1089</v>
      </c>
      <c r="F105" s="357">
        <f>1.25*17.36</f>
        <v>21.7</v>
      </c>
      <c r="G105" s="326">
        <v>8</v>
      </c>
      <c r="H105" s="66">
        <f t="shared" si="53"/>
        <v>8</v>
      </c>
      <c r="I105" s="37">
        <f t="shared" si="51"/>
        <v>0</v>
      </c>
      <c r="J105" s="37">
        <f t="shared" si="52"/>
        <v>27.3</v>
      </c>
      <c r="K105" s="38">
        <f t="shared" si="54"/>
        <v>218.4</v>
      </c>
      <c r="L105" s="244">
        <f t="shared" si="55"/>
        <v>0</v>
      </c>
      <c r="M105" s="213">
        <f t="shared" si="56"/>
        <v>0</v>
      </c>
      <c r="N105" s="98"/>
      <c r="O105" s="98">
        <f t="shared" si="37"/>
        <v>0</v>
      </c>
      <c r="P105" s="214">
        <f t="shared" si="57"/>
        <v>0</v>
      </c>
      <c r="Q105" s="98"/>
      <c r="R105" s="98">
        <f t="shared" si="38"/>
        <v>0</v>
      </c>
      <c r="S105" s="214">
        <f t="shared" si="58"/>
        <v>0</v>
      </c>
      <c r="T105" s="98"/>
      <c r="U105" s="98">
        <f t="shared" si="39"/>
        <v>0</v>
      </c>
      <c r="V105" s="214">
        <f t="shared" si="59"/>
        <v>0</v>
      </c>
      <c r="W105" s="98"/>
      <c r="X105" s="98">
        <f t="shared" si="40"/>
        <v>0</v>
      </c>
      <c r="Y105" s="214">
        <f t="shared" si="60"/>
        <v>0</v>
      </c>
      <c r="Z105" s="98"/>
      <c r="AA105" s="98">
        <f t="shared" si="41"/>
        <v>0</v>
      </c>
      <c r="AB105" s="214">
        <f t="shared" si="61"/>
        <v>0</v>
      </c>
      <c r="AC105" s="98"/>
      <c r="AD105" s="98">
        <f t="shared" si="42"/>
        <v>0</v>
      </c>
      <c r="AE105" s="214">
        <f t="shared" si="62"/>
        <v>0</v>
      </c>
      <c r="AF105" s="98"/>
      <c r="AG105" s="98">
        <f t="shared" si="43"/>
        <v>0</v>
      </c>
      <c r="AH105" s="214">
        <f t="shared" si="63"/>
        <v>0</v>
      </c>
      <c r="AI105" s="98"/>
      <c r="AJ105" s="98">
        <f t="shared" si="44"/>
        <v>0</v>
      </c>
      <c r="AK105" s="214">
        <f t="shared" si="64"/>
        <v>0</v>
      </c>
      <c r="AL105" s="98"/>
      <c r="AM105" s="98">
        <f t="shared" si="45"/>
        <v>0</v>
      </c>
      <c r="AN105" s="214">
        <f t="shared" si="65"/>
        <v>0</v>
      </c>
      <c r="AO105" s="98"/>
      <c r="AP105" s="98">
        <f t="shared" si="46"/>
        <v>0</v>
      </c>
      <c r="AQ105" s="214">
        <f t="shared" si="66"/>
        <v>0</v>
      </c>
      <c r="AR105" s="98"/>
      <c r="AS105" s="98">
        <f t="shared" si="47"/>
        <v>0</v>
      </c>
      <c r="AT105" s="214">
        <f t="shared" si="67"/>
        <v>0</v>
      </c>
      <c r="AU105" s="98"/>
      <c r="AV105" s="215">
        <f t="shared" si="48"/>
        <v>0</v>
      </c>
      <c r="AW105" s="214">
        <f t="shared" si="68"/>
        <v>0</v>
      </c>
      <c r="AX105" s="98">
        <f t="shared" si="69"/>
        <v>0</v>
      </c>
      <c r="AY105" s="204">
        <f t="shared" si="49"/>
        <v>0</v>
      </c>
      <c r="AZ105" s="214">
        <f t="shared" si="71"/>
        <v>100</v>
      </c>
      <c r="BA105" s="98">
        <f t="shared" si="70"/>
        <v>8</v>
      </c>
      <c r="BB105" s="204">
        <f t="shared" si="50"/>
        <v>218.4</v>
      </c>
    </row>
    <row r="106" spans="1:54" s="3" customFormat="1" x14ac:dyDescent="0.2">
      <c r="A106" s="324" t="s">
        <v>1092</v>
      </c>
      <c r="B106" s="87" t="s">
        <v>1055</v>
      </c>
      <c r="C106" s="87" t="s">
        <v>104</v>
      </c>
      <c r="D106" s="96" t="s">
        <v>1093</v>
      </c>
      <c r="E106" s="87" t="s">
        <v>1057</v>
      </c>
      <c r="F106" s="364">
        <f>1.25*6.2</f>
        <v>7.75</v>
      </c>
      <c r="G106" s="326">
        <v>2</v>
      </c>
      <c r="H106" s="66">
        <f t="shared" si="53"/>
        <v>2</v>
      </c>
      <c r="I106" s="37">
        <f t="shared" si="51"/>
        <v>0</v>
      </c>
      <c r="J106" s="37">
        <f t="shared" si="52"/>
        <v>9.75</v>
      </c>
      <c r="K106" s="38">
        <f t="shared" si="54"/>
        <v>19.5</v>
      </c>
      <c r="L106" s="244">
        <f t="shared" si="55"/>
        <v>0</v>
      </c>
      <c r="M106" s="213">
        <f t="shared" si="56"/>
        <v>0</v>
      </c>
      <c r="N106" s="98"/>
      <c r="O106" s="98">
        <f t="shared" si="37"/>
        <v>0</v>
      </c>
      <c r="P106" s="214">
        <f t="shared" si="57"/>
        <v>0</v>
      </c>
      <c r="Q106" s="98"/>
      <c r="R106" s="98">
        <f t="shared" si="38"/>
        <v>0</v>
      </c>
      <c r="S106" s="214">
        <f t="shared" si="58"/>
        <v>0</v>
      </c>
      <c r="T106" s="98"/>
      <c r="U106" s="98">
        <f t="shared" si="39"/>
        <v>0</v>
      </c>
      <c r="V106" s="214">
        <f t="shared" si="59"/>
        <v>0</v>
      </c>
      <c r="W106" s="98"/>
      <c r="X106" s="98">
        <f t="shared" si="40"/>
        <v>0</v>
      </c>
      <c r="Y106" s="214">
        <f t="shared" si="60"/>
        <v>0</v>
      </c>
      <c r="Z106" s="98"/>
      <c r="AA106" s="98">
        <f t="shared" si="41"/>
        <v>0</v>
      </c>
      <c r="AB106" s="214">
        <f t="shared" si="61"/>
        <v>0</v>
      </c>
      <c r="AC106" s="98"/>
      <c r="AD106" s="98">
        <f t="shared" si="42"/>
        <v>0</v>
      </c>
      <c r="AE106" s="214">
        <f t="shared" si="62"/>
        <v>0</v>
      </c>
      <c r="AF106" s="98"/>
      <c r="AG106" s="98">
        <f t="shared" si="43"/>
        <v>0</v>
      </c>
      <c r="AH106" s="214">
        <f t="shared" si="63"/>
        <v>0</v>
      </c>
      <c r="AI106" s="98"/>
      <c r="AJ106" s="98">
        <f t="shared" si="44"/>
        <v>0</v>
      </c>
      <c r="AK106" s="214">
        <f t="shared" si="64"/>
        <v>0</v>
      </c>
      <c r="AL106" s="98"/>
      <c r="AM106" s="98">
        <f t="shared" si="45"/>
        <v>0</v>
      </c>
      <c r="AN106" s="214">
        <f t="shared" si="65"/>
        <v>0</v>
      </c>
      <c r="AO106" s="98"/>
      <c r="AP106" s="98">
        <f t="shared" si="46"/>
        <v>0</v>
      </c>
      <c r="AQ106" s="214">
        <f t="shared" si="66"/>
        <v>0</v>
      </c>
      <c r="AR106" s="98"/>
      <c r="AS106" s="98">
        <f t="shared" si="47"/>
        <v>0</v>
      </c>
      <c r="AT106" s="214">
        <f t="shared" si="67"/>
        <v>0</v>
      </c>
      <c r="AU106" s="98"/>
      <c r="AV106" s="215">
        <f t="shared" si="48"/>
        <v>0</v>
      </c>
      <c r="AW106" s="214">
        <f t="shared" si="68"/>
        <v>0</v>
      </c>
      <c r="AX106" s="98">
        <f t="shared" si="69"/>
        <v>0</v>
      </c>
      <c r="AY106" s="204">
        <f t="shared" si="49"/>
        <v>0</v>
      </c>
      <c r="AZ106" s="214">
        <f t="shared" si="71"/>
        <v>100</v>
      </c>
      <c r="BA106" s="98">
        <f t="shared" si="70"/>
        <v>2</v>
      </c>
      <c r="BB106" s="204">
        <f t="shared" si="50"/>
        <v>19.5</v>
      </c>
    </row>
    <row r="107" spans="1:54" s="3" customFormat="1" x14ac:dyDescent="0.2">
      <c r="A107" s="324" t="s">
        <v>1094</v>
      </c>
      <c r="B107" s="28" t="s">
        <v>899</v>
      </c>
      <c r="C107" s="28" t="s">
        <v>900</v>
      </c>
      <c r="D107" s="58" t="s">
        <v>901</v>
      </c>
      <c r="E107" s="28" t="s">
        <v>275</v>
      </c>
      <c r="F107" s="364">
        <v>35.15</v>
      </c>
      <c r="G107" s="326">
        <v>120</v>
      </c>
      <c r="H107" s="66">
        <f t="shared" si="53"/>
        <v>120</v>
      </c>
      <c r="I107" s="37">
        <f t="shared" si="51"/>
        <v>0</v>
      </c>
      <c r="J107" s="37">
        <f t="shared" si="52"/>
        <v>44.22</v>
      </c>
      <c r="K107" s="38">
        <f t="shared" si="54"/>
        <v>5306.4</v>
      </c>
      <c r="L107" s="244">
        <f t="shared" si="55"/>
        <v>0</v>
      </c>
      <c r="M107" s="213">
        <f t="shared" si="56"/>
        <v>0</v>
      </c>
      <c r="N107" s="98"/>
      <c r="O107" s="98">
        <f t="shared" si="37"/>
        <v>0</v>
      </c>
      <c r="P107" s="214">
        <f t="shared" si="57"/>
        <v>0</v>
      </c>
      <c r="Q107" s="98"/>
      <c r="R107" s="98">
        <f t="shared" si="38"/>
        <v>0</v>
      </c>
      <c r="S107" s="214">
        <f t="shared" si="58"/>
        <v>0</v>
      </c>
      <c r="T107" s="98"/>
      <c r="U107" s="98">
        <f t="shared" si="39"/>
        <v>0</v>
      </c>
      <c r="V107" s="214">
        <f t="shared" si="59"/>
        <v>0</v>
      </c>
      <c r="W107" s="98"/>
      <c r="X107" s="98">
        <f t="shared" si="40"/>
        <v>0</v>
      </c>
      <c r="Y107" s="214">
        <f t="shared" si="60"/>
        <v>0</v>
      </c>
      <c r="Z107" s="98"/>
      <c r="AA107" s="98">
        <f t="shared" si="41"/>
        <v>0</v>
      </c>
      <c r="AB107" s="214">
        <f t="shared" si="61"/>
        <v>0</v>
      </c>
      <c r="AC107" s="98"/>
      <c r="AD107" s="98">
        <f t="shared" si="42"/>
        <v>0</v>
      </c>
      <c r="AE107" s="214">
        <f t="shared" si="62"/>
        <v>0</v>
      </c>
      <c r="AF107" s="98"/>
      <c r="AG107" s="98">
        <f t="shared" si="43"/>
        <v>0</v>
      </c>
      <c r="AH107" s="214">
        <f t="shared" si="63"/>
        <v>0</v>
      </c>
      <c r="AI107" s="98"/>
      <c r="AJ107" s="98">
        <f t="shared" si="44"/>
        <v>0</v>
      </c>
      <c r="AK107" s="214">
        <f t="shared" si="64"/>
        <v>0</v>
      </c>
      <c r="AL107" s="98"/>
      <c r="AM107" s="98">
        <f t="shared" si="45"/>
        <v>0</v>
      </c>
      <c r="AN107" s="214">
        <f t="shared" si="65"/>
        <v>0</v>
      </c>
      <c r="AO107" s="98"/>
      <c r="AP107" s="98">
        <f t="shared" si="46"/>
        <v>0</v>
      </c>
      <c r="AQ107" s="214">
        <f t="shared" si="66"/>
        <v>0</v>
      </c>
      <c r="AR107" s="98"/>
      <c r="AS107" s="98">
        <f t="shared" si="47"/>
        <v>0</v>
      </c>
      <c r="AT107" s="214">
        <f t="shared" si="67"/>
        <v>0</v>
      </c>
      <c r="AU107" s="98"/>
      <c r="AV107" s="215">
        <f t="shared" si="48"/>
        <v>0</v>
      </c>
      <c r="AW107" s="214">
        <f t="shared" si="68"/>
        <v>0</v>
      </c>
      <c r="AX107" s="98">
        <f t="shared" si="69"/>
        <v>0</v>
      </c>
      <c r="AY107" s="204">
        <f t="shared" si="49"/>
        <v>0</v>
      </c>
      <c r="AZ107" s="214">
        <f t="shared" si="71"/>
        <v>100</v>
      </c>
      <c r="BA107" s="98">
        <f t="shared" si="70"/>
        <v>120</v>
      </c>
      <c r="BB107" s="204">
        <f t="shared" si="50"/>
        <v>5306.4</v>
      </c>
    </row>
    <row r="108" spans="1:54" s="3" customFormat="1" x14ac:dyDescent="0.2">
      <c r="A108" s="324" t="s">
        <v>1095</v>
      </c>
      <c r="B108" s="87" t="s">
        <v>1055</v>
      </c>
      <c r="C108" s="87" t="s">
        <v>104</v>
      </c>
      <c r="D108" s="96" t="s">
        <v>1096</v>
      </c>
      <c r="E108" s="87" t="s">
        <v>275</v>
      </c>
      <c r="F108" s="364">
        <f>1.25*9271</f>
        <v>11588.75</v>
      </c>
      <c r="G108" s="326">
        <v>1</v>
      </c>
      <c r="H108" s="66">
        <f t="shared" si="53"/>
        <v>1</v>
      </c>
      <c r="I108" s="37">
        <f t="shared" si="51"/>
        <v>0</v>
      </c>
      <c r="J108" s="37">
        <f t="shared" si="52"/>
        <v>14579.81</v>
      </c>
      <c r="K108" s="38">
        <f t="shared" si="54"/>
        <v>14579.81</v>
      </c>
      <c r="L108" s="244">
        <f t="shared" si="55"/>
        <v>0</v>
      </c>
      <c r="M108" s="213">
        <f t="shared" si="56"/>
        <v>0</v>
      </c>
      <c r="N108" s="98"/>
      <c r="O108" s="98">
        <f t="shared" si="37"/>
        <v>0</v>
      </c>
      <c r="P108" s="214">
        <f t="shared" si="57"/>
        <v>0</v>
      </c>
      <c r="Q108" s="98"/>
      <c r="R108" s="98">
        <f t="shared" si="38"/>
        <v>0</v>
      </c>
      <c r="S108" s="214">
        <f t="shared" si="58"/>
        <v>0</v>
      </c>
      <c r="T108" s="98"/>
      <c r="U108" s="98">
        <f t="shared" si="39"/>
        <v>0</v>
      </c>
      <c r="V108" s="214">
        <f t="shared" si="59"/>
        <v>0</v>
      </c>
      <c r="W108" s="98"/>
      <c r="X108" s="98">
        <f t="shared" si="40"/>
        <v>0</v>
      </c>
      <c r="Y108" s="214">
        <f t="shared" si="60"/>
        <v>0</v>
      </c>
      <c r="Z108" s="98"/>
      <c r="AA108" s="98">
        <f t="shared" si="41"/>
        <v>0</v>
      </c>
      <c r="AB108" s="214">
        <f t="shared" si="61"/>
        <v>0</v>
      </c>
      <c r="AC108" s="98"/>
      <c r="AD108" s="98">
        <f t="shared" si="42"/>
        <v>0</v>
      </c>
      <c r="AE108" s="214">
        <f t="shared" si="62"/>
        <v>0</v>
      </c>
      <c r="AF108" s="98"/>
      <c r="AG108" s="98">
        <f t="shared" si="43"/>
        <v>0</v>
      </c>
      <c r="AH108" s="214">
        <f t="shared" si="63"/>
        <v>0</v>
      </c>
      <c r="AI108" s="98"/>
      <c r="AJ108" s="98">
        <f t="shared" si="44"/>
        <v>0</v>
      </c>
      <c r="AK108" s="214">
        <f t="shared" si="64"/>
        <v>0</v>
      </c>
      <c r="AL108" s="98"/>
      <c r="AM108" s="98">
        <f t="shared" si="45"/>
        <v>0</v>
      </c>
      <c r="AN108" s="214">
        <f t="shared" si="65"/>
        <v>0</v>
      </c>
      <c r="AO108" s="98"/>
      <c r="AP108" s="98">
        <f t="shared" si="46"/>
        <v>0</v>
      </c>
      <c r="AQ108" s="214">
        <f t="shared" si="66"/>
        <v>0</v>
      </c>
      <c r="AR108" s="98"/>
      <c r="AS108" s="98">
        <f t="shared" si="47"/>
        <v>0</v>
      </c>
      <c r="AT108" s="214">
        <f t="shared" si="67"/>
        <v>0</v>
      </c>
      <c r="AU108" s="98"/>
      <c r="AV108" s="215">
        <f t="shared" si="48"/>
        <v>0</v>
      </c>
      <c r="AW108" s="214">
        <f t="shared" si="68"/>
        <v>0</v>
      </c>
      <c r="AX108" s="98">
        <f t="shared" si="69"/>
        <v>0</v>
      </c>
      <c r="AY108" s="204">
        <f t="shared" si="49"/>
        <v>0</v>
      </c>
      <c r="AZ108" s="214">
        <f t="shared" si="71"/>
        <v>100</v>
      </c>
      <c r="BA108" s="98">
        <f t="shared" si="70"/>
        <v>1</v>
      </c>
      <c r="BB108" s="204">
        <f t="shared" si="50"/>
        <v>14579.81</v>
      </c>
    </row>
    <row r="109" spans="1:54" s="3" customFormat="1" x14ac:dyDescent="0.2">
      <c r="A109" s="324" t="s">
        <v>1097</v>
      </c>
      <c r="B109" s="87" t="s">
        <v>1055</v>
      </c>
      <c r="C109" s="87" t="s">
        <v>104</v>
      </c>
      <c r="D109" s="96" t="s">
        <v>1098</v>
      </c>
      <c r="E109" s="87" t="s">
        <v>1057</v>
      </c>
      <c r="F109" s="364">
        <f>1.25*2.48</f>
        <v>3.1</v>
      </c>
      <c r="G109" s="326">
        <v>20</v>
      </c>
      <c r="H109" s="66">
        <f t="shared" si="53"/>
        <v>20</v>
      </c>
      <c r="I109" s="37">
        <f t="shared" si="51"/>
        <v>0</v>
      </c>
      <c r="J109" s="37">
        <f t="shared" si="52"/>
        <v>3.9</v>
      </c>
      <c r="K109" s="38">
        <f t="shared" si="54"/>
        <v>78</v>
      </c>
      <c r="L109" s="244">
        <f t="shared" si="55"/>
        <v>0</v>
      </c>
      <c r="M109" s="213">
        <f t="shared" si="56"/>
        <v>0</v>
      </c>
      <c r="N109" s="98"/>
      <c r="O109" s="98">
        <f t="shared" si="37"/>
        <v>0</v>
      </c>
      <c r="P109" s="214">
        <f t="shared" si="57"/>
        <v>0</v>
      </c>
      <c r="Q109" s="98"/>
      <c r="R109" s="98">
        <f t="shared" si="38"/>
        <v>0</v>
      </c>
      <c r="S109" s="214">
        <f t="shared" si="58"/>
        <v>0</v>
      </c>
      <c r="T109" s="98"/>
      <c r="U109" s="98">
        <f t="shared" si="39"/>
        <v>0</v>
      </c>
      <c r="V109" s="214">
        <f t="shared" si="59"/>
        <v>0</v>
      </c>
      <c r="W109" s="98"/>
      <c r="X109" s="98">
        <f t="shared" si="40"/>
        <v>0</v>
      </c>
      <c r="Y109" s="214">
        <f t="shared" si="60"/>
        <v>0</v>
      </c>
      <c r="Z109" s="98"/>
      <c r="AA109" s="98">
        <f t="shared" si="41"/>
        <v>0</v>
      </c>
      <c r="AB109" s="214">
        <f t="shared" si="61"/>
        <v>0</v>
      </c>
      <c r="AC109" s="98"/>
      <c r="AD109" s="98">
        <f t="shared" si="42"/>
        <v>0</v>
      </c>
      <c r="AE109" s="214">
        <f t="shared" si="62"/>
        <v>0</v>
      </c>
      <c r="AF109" s="98"/>
      <c r="AG109" s="98">
        <f t="shared" si="43"/>
        <v>0</v>
      </c>
      <c r="AH109" s="214">
        <f t="shared" si="63"/>
        <v>0</v>
      </c>
      <c r="AI109" s="98"/>
      <c r="AJ109" s="98">
        <f t="shared" si="44"/>
        <v>0</v>
      </c>
      <c r="AK109" s="214">
        <f t="shared" si="64"/>
        <v>0</v>
      </c>
      <c r="AL109" s="98"/>
      <c r="AM109" s="98">
        <f t="shared" si="45"/>
        <v>0</v>
      </c>
      <c r="AN109" s="214">
        <f t="shared" si="65"/>
        <v>0</v>
      </c>
      <c r="AO109" s="98"/>
      <c r="AP109" s="98">
        <f t="shared" si="46"/>
        <v>0</v>
      </c>
      <c r="AQ109" s="214">
        <f t="shared" si="66"/>
        <v>0</v>
      </c>
      <c r="AR109" s="98"/>
      <c r="AS109" s="98">
        <f t="shared" si="47"/>
        <v>0</v>
      </c>
      <c r="AT109" s="214">
        <f t="shared" si="67"/>
        <v>0</v>
      </c>
      <c r="AU109" s="98"/>
      <c r="AV109" s="215">
        <f t="shared" si="48"/>
        <v>0</v>
      </c>
      <c r="AW109" s="214">
        <f t="shared" si="68"/>
        <v>0</v>
      </c>
      <c r="AX109" s="98">
        <f t="shared" si="69"/>
        <v>0</v>
      </c>
      <c r="AY109" s="204">
        <f t="shared" si="49"/>
        <v>0</v>
      </c>
      <c r="AZ109" s="214">
        <f t="shared" si="71"/>
        <v>100</v>
      </c>
      <c r="BA109" s="98">
        <f t="shared" si="70"/>
        <v>20</v>
      </c>
      <c r="BB109" s="204">
        <f t="shared" si="50"/>
        <v>78</v>
      </c>
    </row>
    <row r="110" spans="1:54" s="3" customFormat="1" x14ac:dyDescent="0.2">
      <c r="A110" s="324" t="s">
        <v>1099</v>
      </c>
      <c r="B110" s="87" t="s">
        <v>1055</v>
      </c>
      <c r="C110" s="87" t="s">
        <v>104</v>
      </c>
      <c r="D110" s="96" t="s">
        <v>1100</v>
      </c>
      <c r="E110" s="87" t="s">
        <v>1057</v>
      </c>
      <c r="F110" s="364">
        <f>1.25*3.78</f>
        <v>4.7249999999999996</v>
      </c>
      <c r="G110" s="17">
        <v>4</v>
      </c>
      <c r="H110" s="66">
        <f t="shared" si="53"/>
        <v>4</v>
      </c>
      <c r="I110" s="37">
        <f t="shared" si="51"/>
        <v>0</v>
      </c>
      <c r="J110" s="37">
        <f t="shared" si="52"/>
        <v>5.94</v>
      </c>
      <c r="K110" s="38">
        <f t="shared" si="54"/>
        <v>23.76</v>
      </c>
      <c r="L110" s="244">
        <f t="shared" si="55"/>
        <v>0</v>
      </c>
      <c r="M110" s="213">
        <f t="shared" si="56"/>
        <v>0</v>
      </c>
      <c r="N110" s="98"/>
      <c r="O110" s="98">
        <f t="shared" si="37"/>
        <v>0</v>
      </c>
      <c r="P110" s="214">
        <f t="shared" si="57"/>
        <v>0</v>
      </c>
      <c r="Q110" s="98"/>
      <c r="R110" s="98">
        <f t="shared" si="38"/>
        <v>0</v>
      </c>
      <c r="S110" s="214">
        <f t="shared" si="58"/>
        <v>0</v>
      </c>
      <c r="T110" s="98"/>
      <c r="U110" s="98">
        <f t="shared" si="39"/>
        <v>0</v>
      </c>
      <c r="V110" s="214">
        <f t="shared" si="59"/>
        <v>0</v>
      </c>
      <c r="W110" s="98"/>
      <c r="X110" s="98">
        <f t="shared" si="40"/>
        <v>0</v>
      </c>
      <c r="Y110" s="214">
        <f t="shared" si="60"/>
        <v>0</v>
      </c>
      <c r="Z110" s="98"/>
      <c r="AA110" s="98">
        <f t="shared" si="41"/>
        <v>0</v>
      </c>
      <c r="AB110" s="214">
        <f t="shared" si="61"/>
        <v>0</v>
      </c>
      <c r="AC110" s="98"/>
      <c r="AD110" s="98">
        <f t="shared" si="42"/>
        <v>0</v>
      </c>
      <c r="AE110" s="214">
        <f t="shared" si="62"/>
        <v>0</v>
      </c>
      <c r="AF110" s="98"/>
      <c r="AG110" s="98">
        <f t="shared" si="43"/>
        <v>0</v>
      </c>
      <c r="AH110" s="214">
        <f t="shared" si="63"/>
        <v>0</v>
      </c>
      <c r="AI110" s="98"/>
      <c r="AJ110" s="98">
        <f t="shared" si="44"/>
        <v>0</v>
      </c>
      <c r="AK110" s="214">
        <f t="shared" si="64"/>
        <v>0</v>
      </c>
      <c r="AL110" s="98"/>
      <c r="AM110" s="98">
        <f t="shared" si="45"/>
        <v>0</v>
      </c>
      <c r="AN110" s="214">
        <f t="shared" si="65"/>
        <v>0</v>
      </c>
      <c r="AO110" s="98"/>
      <c r="AP110" s="98">
        <f t="shared" si="46"/>
        <v>0</v>
      </c>
      <c r="AQ110" s="214">
        <f t="shared" si="66"/>
        <v>0</v>
      </c>
      <c r="AR110" s="98"/>
      <c r="AS110" s="98">
        <f t="shared" si="47"/>
        <v>0</v>
      </c>
      <c r="AT110" s="214">
        <f t="shared" si="67"/>
        <v>0</v>
      </c>
      <c r="AU110" s="98"/>
      <c r="AV110" s="215">
        <f t="shared" si="48"/>
        <v>0</v>
      </c>
      <c r="AW110" s="214">
        <f t="shared" si="68"/>
        <v>0</v>
      </c>
      <c r="AX110" s="98">
        <f t="shared" si="69"/>
        <v>0</v>
      </c>
      <c r="AY110" s="204">
        <f t="shared" si="49"/>
        <v>0</v>
      </c>
      <c r="AZ110" s="214">
        <f t="shared" si="71"/>
        <v>100</v>
      </c>
      <c r="BA110" s="98">
        <f t="shared" si="70"/>
        <v>4</v>
      </c>
      <c r="BB110" s="204">
        <f t="shared" si="50"/>
        <v>23.76</v>
      </c>
    </row>
    <row r="111" spans="1:54" s="3" customFormat="1" x14ac:dyDescent="0.2">
      <c r="A111" s="324" t="s">
        <v>1101</v>
      </c>
      <c r="B111" s="87" t="s">
        <v>1055</v>
      </c>
      <c r="C111" s="87" t="s">
        <v>104</v>
      </c>
      <c r="D111" s="92" t="s">
        <v>1102</v>
      </c>
      <c r="E111" s="28" t="s">
        <v>275</v>
      </c>
      <c r="F111" s="357">
        <f>1.25*12.9</f>
        <v>16.125</v>
      </c>
      <c r="G111" s="17">
        <v>20</v>
      </c>
      <c r="H111" s="66">
        <f t="shared" si="53"/>
        <v>20</v>
      </c>
      <c r="I111" s="37">
        <f t="shared" si="51"/>
        <v>0</v>
      </c>
      <c r="J111" s="37">
        <f t="shared" si="52"/>
        <v>20.29</v>
      </c>
      <c r="K111" s="38">
        <f t="shared" si="54"/>
        <v>405.8</v>
      </c>
      <c r="L111" s="244">
        <f t="shared" si="55"/>
        <v>0</v>
      </c>
      <c r="M111" s="213">
        <f t="shared" si="56"/>
        <v>0</v>
      </c>
      <c r="N111" s="98"/>
      <c r="O111" s="98">
        <f t="shared" si="37"/>
        <v>0</v>
      </c>
      <c r="P111" s="214">
        <f t="shared" si="57"/>
        <v>0</v>
      </c>
      <c r="Q111" s="98"/>
      <c r="R111" s="98">
        <f t="shared" si="38"/>
        <v>0</v>
      </c>
      <c r="S111" s="214">
        <f t="shared" si="58"/>
        <v>0</v>
      </c>
      <c r="T111" s="98"/>
      <c r="U111" s="98">
        <f t="shared" si="39"/>
        <v>0</v>
      </c>
      <c r="V111" s="214">
        <f t="shared" si="59"/>
        <v>0</v>
      </c>
      <c r="W111" s="98"/>
      <c r="X111" s="98">
        <f t="shared" si="40"/>
        <v>0</v>
      </c>
      <c r="Y111" s="214">
        <f t="shared" si="60"/>
        <v>0</v>
      </c>
      <c r="Z111" s="98"/>
      <c r="AA111" s="98">
        <f t="shared" si="41"/>
        <v>0</v>
      </c>
      <c r="AB111" s="214">
        <f t="shared" si="61"/>
        <v>0</v>
      </c>
      <c r="AC111" s="98"/>
      <c r="AD111" s="98">
        <f t="shared" si="42"/>
        <v>0</v>
      </c>
      <c r="AE111" s="214">
        <f t="shared" si="62"/>
        <v>0</v>
      </c>
      <c r="AF111" s="98"/>
      <c r="AG111" s="98">
        <f t="shared" si="43"/>
        <v>0</v>
      </c>
      <c r="AH111" s="214">
        <f t="shared" si="63"/>
        <v>0</v>
      </c>
      <c r="AI111" s="98"/>
      <c r="AJ111" s="98">
        <f t="shared" si="44"/>
        <v>0</v>
      </c>
      <c r="AK111" s="214">
        <f t="shared" si="64"/>
        <v>0</v>
      </c>
      <c r="AL111" s="98"/>
      <c r="AM111" s="98">
        <f t="shared" si="45"/>
        <v>0</v>
      </c>
      <c r="AN111" s="214">
        <f t="shared" si="65"/>
        <v>0</v>
      </c>
      <c r="AO111" s="98"/>
      <c r="AP111" s="98">
        <f t="shared" si="46"/>
        <v>0</v>
      </c>
      <c r="AQ111" s="214">
        <f t="shared" si="66"/>
        <v>0</v>
      </c>
      <c r="AR111" s="98"/>
      <c r="AS111" s="98">
        <f t="shared" si="47"/>
        <v>0</v>
      </c>
      <c r="AT111" s="214">
        <f t="shared" si="67"/>
        <v>0</v>
      </c>
      <c r="AU111" s="98"/>
      <c r="AV111" s="215">
        <f t="shared" si="48"/>
        <v>0</v>
      </c>
      <c r="AW111" s="214">
        <f t="shared" si="68"/>
        <v>0</v>
      </c>
      <c r="AX111" s="98">
        <f t="shared" si="69"/>
        <v>0</v>
      </c>
      <c r="AY111" s="204">
        <f t="shared" si="49"/>
        <v>0</v>
      </c>
      <c r="AZ111" s="214">
        <f t="shared" si="71"/>
        <v>100</v>
      </c>
      <c r="BA111" s="98">
        <f t="shared" si="70"/>
        <v>20</v>
      </c>
      <c r="BB111" s="204">
        <f t="shared" si="50"/>
        <v>405.8</v>
      </c>
    </row>
    <row r="112" spans="1:54" s="3" customFormat="1" x14ac:dyDescent="0.2">
      <c r="A112" s="324" t="s">
        <v>1103</v>
      </c>
      <c r="B112" s="87" t="s">
        <v>1055</v>
      </c>
      <c r="C112" s="87" t="s">
        <v>104</v>
      </c>
      <c r="D112" s="96" t="s">
        <v>1104</v>
      </c>
      <c r="E112" s="87" t="s">
        <v>1057</v>
      </c>
      <c r="F112" s="364">
        <f>1.25*10.17</f>
        <v>12.7125</v>
      </c>
      <c r="G112" s="17">
        <v>3</v>
      </c>
      <c r="H112" s="66">
        <f t="shared" si="53"/>
        <v>3</v>
      </c>
      <c r="I112" s="37">
        <f t="shared" si="51"/>
        <v>0</v>
      </c>
      <c r="J112" s="37">
        <f t="shared" si="52"/>
        <v>15.99</v>
      </c>
      <c r="K112" s="38">
        <f t="shared" si="54"/>
        <v>47.97</v>
      </c>
      <c r="L112" s="244">
        <f t="shared" si="55"/>
        <v>0</v>
      </c>
      <c r="M112" s="213">
        <f t="shared" si="56"/>
        <v>0</v>
      </c>
      <c r="N112" s="98"/>
      <c r="O112" s="98">
        <f t="shared" si="37"/>
        <v>0</v>
      </c>
      <c r="P112" s="214">
        <f t="shared" si="57"/>
        <v>0</v>
      </c>
      <c r="Q112" s="98"/>
      <c r="R112" s="98">
        <f t="shared" si="38"/>
        <v>0</v>
      </c>
      <c r="S112" s="214">
        <f t="shared" si="58"/>
        <v>0</v>
      </c>
      <c r="T112" s="98"/>
      <c r="U112" s="98">
        <f t="shared" si="39"/>
        <v>0</v>
      </c>
      <c r="V112" s="214">
        <f t="shared" si="59"/>
        <v>0</v>
      </c>
      <c r="W112" s="98"/>
      <c r="X112" s="98">
        <f t="shared" si="40"/>
        <v>0</v>
      </c>
      <c r="Y112" s="214">
        <f t="shared" si="60"/>
        <v>0</v>
      </c>
      <c r="Z112" s="98"/>
      <c r="AA112" s="98">
        <f t="shared" si="41"/>
        <v>0</v>
      </c>
      <c r="AB112" s="214">
        <f t="shared" si="61"/>
        <v>0</v>
      </c>
      <c r="AC112" s="98"/>
      <c r="AD112" s="98">
        <f t="shared" si="42"/>
        <v>0</v>
      </c>
      <c r="AE112" s="214">
        <f t="shared" si="62"/>
        <v>0</v>
      </c>
      <c r="AF112" s="98"/>
      <c r="AG112" s="98">
        <f t="shared" si="43"/>
        <v>0</v>
      </c>
      <c r="AH112" s="214">
        <f t="shared" si="63"/>
        <v>0</v>
      </c>
      <c r="AI112" s="98"/>
      <c r="AJ112" s="98">
        <f t="shared" si="44"/>
        <v>0</v>
      </c>
      <c r="AK112" s="214">
        <f t="shared" si="64"/>
        <v>0</v>
      </c>
      <c r="AL112" s="98"/>
      <c r="AM112" s="98">
        <f t="shared" si="45"/>
        <v>0</v>
      </c>
      <c r="AN112" s="214">
        <f t="shared" si="65"/>
        <v>0</v>
      </c>
      <c r="AO112" s="98"/>
      <c r="AP112" s="98">
        <f t="shared" si="46"/>
        <v>0</v>
      </c>
      <c r="AQ112" s="214">
        <f t="shared" si="66"/>
        <v>0</v>
      </c>
      <c r="AR112" s="98"/>
      <c r="AS112" s="98">
        <f t="shared" si="47"/>
        <v>0</v>
      </c>
      <c r="AT112" s="214">
        <f t="shared" si="67"/>
        <v>0</v>
      </c>
      <c r="AU112" s="98"/>
      <c r="AV112" s="215">
        <f t="shared" si="48"/>
        <v>0</v>
      </c>
      <c r="AW112" s="214">
        <f t="shared" si="68"/>
        <v>0</v>
      </c>
      <c r="AX112" s="98">
        <f t="shared" si="69"/>
        <v>0</v>
      </c>
      <c r="AY112" s="204">
        <f t="shared" si="49"/>
        <v>0</v>
      </c>
      <c r="AZ112" s="214">
        <f t="shared" si="71"/>
        <v>100</v>
      </c>
      <c r="BA112" s="98">
        <f t="shared" si="70"/>
        <v>3</v>
      </c>
      <c r="BB112" s="204">
        <f t="shared" si="50"/>
        <v>47.97</v>
      </c>
    </row>
    <row r="113" spans="1:54" s="3" customFormat="1" x14ac:dyDescent="0.2">
      <c r="A113" s="324" t="s">
        <v>1105</v>
      </c>
      <c r="B113" s="87" t="s">
        <v>1055</v>
      </c>
      <c r="C113" s="87" t="s">
        <v>104</v>
      </c>
      <c r="D113" s="96" t="s">
        <v>1106</v>
      </c>
      <c r="E113" s="87" t="s">
        <v>1057</v>
      </c>
      <c r="F113" s="364">
        <f>1.25*3.14</f>
        <v>3.9250000000000003</v>
      </c>
      <c r="G113" s="17">
        <v>3</v>
      </c>
      <c r="H113" s="66">
        <f t="shared" si="53"/>
        <v>3</v>
      </c>
      <c r="I113" s="37">
        <f t="shared" si="51"/>
        <v>0</v>
      </c>
      <c r="J113" s="37">
        <f t="shared" si="52"/>
        <v>4.9400000000000004</v>
      </c>
      <c r="K113" s="38">
        <f t="shared" si="54"/>
        <v>14.82</v>
      </c>
      <c r="L113" s="244">
        <f t="shared" si="55"/>
        <v>0</v>
      </c>
      <c r="M113" s="213">
        <f t="shared" si="56"/>
        <v>0</v>
      </c>
      <c r="N113" s="98"/>
      <c r="O113" s="98">
        <f t="shared" si="37"/>
        <v>0</v>
      </c>
      <c r="P113" s="214">
        <f t="shared" si="57"/>
        <v>0</v>
      </c>
      <c r="Q113" s="98"/>
      <c r="R113" s="98">
        <f t="shared" si="38"/>
        <v>0</v>
      </c>
      <c r="S113" s="214">
        <f t="shared" si="58"/>
        <v>0</v>
      </c>
      <c r="T113" s="98"/>
      <c r="U113" s="98">
        <f t="shared" si="39"/>
        <v>0</v>
      </c>
      <c r="V113" s="214">
        <f t="shared" si="59"/>
        <v>0</v>
      </c>
      <c r="W113" s="98"/>
      <c r="X113" s="98">
        <f t="shared" si="40"/>
        <v>0</v>
      </c>
      <c r="Y113" s="214">
        <f t="shared" si="60"/>
        <v>0</v>
      </c>
      <c r="Z113" s="98"/>
      <c r="AA113" s="98">
        <f t="shared" si="41"/>
        <v>0</v>
      </c>
      <c r="AB113" s="214">
        <f t="shared" si="61"/>
        <v>0</v>
      </c>
      <c r="AC113" s="98"/>
      <c r="AD113" s="98">
        <f t="shared" si="42"/>
        <v>0</v>
      </c>
      <c r="AE113" s="214">
        <f t="shared" si="62"/>
        <v>0</v>
      </c>
      <c r="AF113" s="98"/>
      <c r="AG113" s="98">
        <f t="shared" si="43"/>
        <v>0</v>
      </c>
      <c r="AH113" s="214">
        <f t="shared" si="63"/>
        <v>0</v>
      </c>
      <c r="AI113" s="98"/>
      <c r="AJ113" s="98">
        <f t="shared" si="44"/>
        <v>0</v>
      </c>
      <c r="AK113" s="214">
        <f t="shared" si="64"/>
        <v>0</v>
      </c>
      <c r="AL113" s="98"/>
      <c r="AM113" s="98">
        <f t="shared" si="45"/>
        <v>0</v>
      </c>
      <c r="AN113" s="214">
        <f t="shared" si="65"/>
        <v>0</v>
      </c>
      <c r="AO113" s="98"/>
      <c r="AP113" s="98">
        <f t="shared" si="46"/>
        <v>0</v>
      </c>
      <c r="AQ113" s="214">
        <f t="shared" si="66"/>
        <v>0</v>
      </c>
      <c r="AR113" s="98"/>
      <c r="AS113" s="98">
        <f t="shared" si="47"/>
        <v>0</v>
      </c>
      <c r="AT113" s="214">
        <f t="shared" si="67"/>
        <v>0</v>
      </c>
      <c r="AU113" s="98"/>
      <c r="AV113" s="215">
        <f t="shared" si="48"/>
        <v>0</v>
      </c>
      <c r="AW113" s="214">
        <f t="shared" si="68"/>
        <v>0</v>
      </c>
      <c r="AX113" s="98">
        <f t="shared" si="69"/>
        <v>0</v>
      </c>
      <c r="AY113" s="204">
        <f t="shared" si="49"/>
        <v>0</v>
      </c>
      <c r="AZ113" s="214">
        <f t="shared" si="71"/>
        <v>100</v>
      </c>
      <c r="BA113" s="98">
        <f t="shared" si="70"/>
        <v>3</v>
      </c>
      <c r="BB113" s="204">
        <f t="shared" si="50"/>
        <v>14.82</v>
      </c>
    </row>
    <row r="114" spans="1:54" s="3" customFormat="1" x14ac:dyDescent="0.2">
      <c r="A114" s="324" t="s">
        <v>1107</v>
      </c>
      <c r="B114" s="87" t="s">
        <v>1055</v>
      </c>
      <c r="C114" s="87" t="s">
        <v>104</v>
      </c>
      <c r="D114" s="96" t="s">
        <v>1108</v>
      </c>
      <c r="E114" s="87" t="s">
        <v>1057</v>
      </c>
      <c r="F114" s="364">
        <f>1.25*2.56</f>
        <v>3.2</v>
      </c>
      <c r="G114" s="17">
        <v>3</v>
      </c>
      <c r="H114" s="66">
        <f t="shared" si="53"/>
        <v>3</v>
      </c>
      <c r="I114" s="37">
        <f t="shared" si="51"/>
        <v>0</v>
      </c>
      <c r="J114" s="37">
        <f t="shared" si="52"/>
        <v>4.03</v>
      </c>
      <c r="K114" s="38">
        <f t="shared" si="54"/>
        <v>12.09</v>
      </c>
      <c r="L114" s="244">
        <f t="shared" si="55"/>
        <v>0</v>
      </c>
      <c r="M114" s="213">
        <f t="shared" si="56"/>
        <v>0</v>
      </c>
      <c r="N114" s="98"/>
      <c r="O114" s="98">
        <f t="shared" si="37"/>
        <v>0</v>
      </c>
      <c r="P114" s="214">
        <f t="shared" si="57"/>
        <v>0</v>
      </c>
      <c r="Q114" s="98"/>
      <c r="R114" s="98">
        <f t="shared" si="38"/>
        <v>0</v>
      </c>
      <c r="S114" s="214">
        <f t="shared" si="58"/>
        <v>0</v>
      </c>
      <c r="T114" s="98"/>
      <c r="U114" s="98">
        <f t="shared" si="39"/>
        <v>0</v>
      </c>
      <c r="V114" s="214">
        <f t="shared" si="59"/>
        <v>0</v>
      </c>
      <c r="W114" s="98"/>
      <c r="X114" s="98">
        <f t="shared" si="40"/>
        <v>0</v>
      </c>
      <c r="Y114" s="214">
        <f t="shared" si="60"/>
        <v>0</v>
      </c>
      <c r="Z114" s="98"/>
      <c r="AA114" s="98">
        <f t="shared" si="41"/>
        <v>0</v>
      </c>
      <c r="AB114" s="214">
        <f t="shared" si="61"/>
        <v>0</v>
      </c>
      <c r="AC114" s="98"/>
      <c r="AD114" s="98">
        <f t="shared" si="42"/>
        <v>0</v>
      </c>
      <c r="AE114" s="214">
        <f t="shared" si="62"/>
        <v>0</v>
      </c>
      <c r="AF114" s="98"/>
      <c r="AG114" s="98">
        <f t="shared" si="43"/>
        <v>0</v>
      </c>
      <c r="AH114" s="214">
        <f t="shared" si="63"/>
        <v>0</v>
      </c>
      <c r="AI114" s="98"/>
      <c r="AJ114" s="98">
        <f t="shared" si="44"/>
        <v>0</v>
      </c>
      <c r="AK114" s="214">
        <f t="shared" si="64"/>
        <v>0</v>
      </c>
      <c r="AL114" s="98"/>
      <c r="AM114" s="98">
        <f t="shared" si="45"/>
        <v>0</v>
      </c>
      <c r="AN114" s="214">
        <f t="shared" si="65"/>
        <v>0</v>
      </c>
      <c r="AO114" s="98"/>
      <c r="AP114" s="98">
        <f t="shared" si="46"/>
        <v>0</v>
      </c>
      <c r="AQ114" s="214">
        <f t="shared" si="66"/>
        <v>0</v>
      </c>
      <c r="AR114" s="98"/>
      <c r="AS114" s="98">
        <f t="shared" si="47"/>
        <v>0</v>
      </c>
      <c r="AT114" s="214">
        <f t="shared" si="67"/>
        <v>0</v>
      </c>
      <c r="AU114" s="98"/>
      <c r="AV114" s="215">
        <f t="shared" si="48"/>
        <v>0</v>
      </c>
      <c r="AW114" s="214">
        <f t="shared" si="68"/>
        <v>0</v>
      </c>
      <c r="AX114" s="98">
        <f t="shared" si="69"/>
        <v>0</v>
      </c>
      <c r="AY114" s="204">
        <f t="shared" si="49"/>
        <v>0</v>
      </c>
      <c r="AZ114" s="214">
        <f t="shared" si="71"/>
        <v>100</v>
      </c>
      <c r="BA114" s="98">
        <f t="shared" si="70"/>
        <v>3</v>
      </c>
      <c r="BB114" s="204">
        <f t="shared" si="50"/>
        <v>12.09</v>
      </c>
    </row>
    <row r="115" spans="1:54" s="3" customFormat="1" x14ac:dyDescent="0.2">
      <c r="A115" s="324" t="s">
        <v>1109</v>
      </c>
      <c r="B115" s="87" t="s">
        <v>1055</v>
      </c>
      <c r="C115" s="87" t="s">
        <v>104</v>
      </c>
      <c r="D115" s="92" t="s">
        <v>1110</v>
      </c>
      <c r="E115" s="28" t="s">
        <v>110</v>
      </c>
      <c r="F115" s="357">
        <f>1.25*12.74</f>
        <v>15.925000000000001</v>
      </c>
      <c r="G115" s="17">
        <v>3</v>
      </c>
      <c r="H115" s="66">
        <f t="shared" si="53"/>
        <v>3</v>
      </c>
      <c r="I115" s="37">
        <f t="shared" si="51"/>
        <v>0</v>
      </c>
      <c r="J115" s="37">
        <f t="shared" si="52"/>
        <v>20.04</v>
      </c>
      <c r="K115" s="38">
        <f t="shared" si="54"/>
        <v>60.12</v>
      </c>
      <c r="L115" s="244">
        <f t="shared" si="55"/>
        <v>0</v>
      </c>
      <c r="M115" s="213">
        <f t="shared" si="56"/>
        <v>0</v>
      </c>
      <c r="N115" s="98"/>
      <c r="O115" s="98">
        <f t="shared" si="37"/>
        <v>0</v>
      </c>
      <c r="P115" s="214">
        <f t="shared" si="57"/>
        <v>0</v>
      </c>
      <c r="Q115" s="98"/>
      <c r="R115" s="98">
        <f t="shared" si="38"/>
        <v>0</v>
      </c>
      <c r="S115" s="214">
        <f t="shared" si="58"/>
        <v>0</v>
      </c>
      <c r="T115" s="98"/>
      <c r="U115" s="98">
        <f t="shared" si="39"/>
        <v>0</v>
      </c>
      <c r="V115" s="214">
        <f t="shared" si="59"/>
        <v>0</v>
      </c>
      <c r="W115" s="98"/>
      <c r="X115" s="98">
        <f t="shared" si="40"/>
        <v>0</v>
      </c>
      <c r="Y115" s="214">
        <f t="shared" si="60"/>
        <v>0</v>
      </c>
      <c r="Z115" s="98"/>
      <c r="AA115" s="98">
        <f t="shared" si="41"/>
        <v>0</v>
      </c>
      <c r="AB115" s="214">
        <f t="shared" si="61"/>
        <v>0</v>
      </c>
      <c r="AC115" s="98"/>
      <c r="AD115" s="98">
        <f t="shared" si="42"/>
        <v>0</v>
      </c>
      <c r="AE115" s="214">
        <f t="shared" si="62"/>
        <v>0</v>
      </c>
      <c r="AF115" s="98"/>
      <c r="AG115" s="98">
        <f t="shared" si="43"/>
        <v>0</v>
      </c>
      <c r="AH115" s="214">
        <f t="shared" si="63"/>
        <v>0</v>
      </c>
      <c r="AI115" s="98"/>
      <c r="AJ115" s="98">
        <f t="shared" si="44"/>
        <v>0</v>
      </c>
      <c r="AK115" s="214">
        <f t="shared" si="64"/>
        <v>0</v>
      </c>
      <c r="AL115" s="98"/>
      <c r="AM115" s="98">
        <f t="shared" si="45"/>
        <v>0</v>
      </c>
      <c r="AN115" s="214">
        <f t="shared" si="65"/>
        <v>0</v>
      </c>
      <c r="AO115" s="98"/>
      <c r="AP115" s="98">
        <f t="shared" si="46"/>
        <v>0</v>
      </c>
      <c r="AQ115" s="214">
        <f t="shared" si="66"/>
        <v>0</v>
      </c>
      <c r="AR115" s="98"/>
      <c r="AS115" s="98">
        <f t="shared" si="47"/>
        <v>0</v>
      </c>
      <c r="AT115" s="214">
        <f t="shared" si="67"/>
        <v>0</v>
      </c>
      <c r="AU115" s="98"/>
      <c r="AV115" s="215">
        <f t="shared" si="48"/>
        <v>0</v>
      </c>
      <c r="AW115" s="214">
        <f t="shared" si="68"/>
        <v>0</v>
      </c>
      <c r="AX115" s="98">
        <f t="shared" si="69"/>
        <v>0</v>
      </c>
      <c r="AY115" s="204">
        <f t="shared" si="49"/>
        <v>0</v>
      </c>
      <c r="AZ115" s="214">
        <f t="shared" si="71"/>
        <v>100</v>
      </c>
      <c r="BA115" s="98">
        <f t="shared" si="70"/>
        <v>3</v>
      </c>
      <c r="BB115" s="204">
        <f t="shared" si="50"/>
        <v>60.12</v>
      </c>
    </row>
    <row r="116" spans="1:54" s="3" customFormat="1" ht="28.5" x14ac:dyDescent="0.2">
      <c r="A116" s="324" t="s">
        <v>1111</v>
      </c>
      <c r="B116" s="87" t="s">
        <v>1055</v>
      </c>
      <c r="C116" s="87" t="s">
        <v>104</v>
      </c>
      <c r="D116" s="92" t="s">
        <v>1112</v>
      </c>
      <c r="E116" s="28" t="s">
        <v>110</v>
      </c>
      <c r="F116" s="357">
        <f>1.25*17.7</f>
        <v>22.125</v>
      </c>
      <c r="G116" s="326">
        <v>3</v>
      </c>
      <c r="H116" s="66">
        <f t="shared" si="53"/>
        <v>3</v>
      </c>
      <c r="I116" s="37">
        <f t="shared" si="51"/>
        <v>0</v>
      </c>
      <c r="J116" s="37">
        <f t="shared" si="52"/>
        <v>27.84</v>
      </c>
      <c r="K116" s="38">
        <f t="shared" si="54"/>
        <v>83.52</v>
      </c>
      <c r="L116" s="244">
        <f t="shared" si="55"/>
        <v>0</v>
      </c>
      <c r="M116" s="213">
        <f t="shared" si="56"/>
        <v>0</v>
      </c>
      <c r="N116" s="98"/>
      <c r="O116" s="98">
        <f t="shared" si="37"/>
        <v>0</v>
      </c>
      <c r="P116" s="214">
        <f t="shared" si="57"/>
        <v>0</v>
      </c>
      <c r="Q116" s="98"/>
      <c r="R116" s="98">
        <f t="shared" si="38"/>
        <v>0</v>
      </c>
      <c r="S116" s="214">
        <f t="shared" si="58"/>
        <v>0</v>
      </c>
      <c r="T116" s="98"/>
      <c r="U116" s="98">
        <f t="shared" si="39"/>
        <v>0</v>
      </c>
      <c r="V116" s="214">
        <f t="shared" si="59"/>
        <v>0</v>
      </c>
      <c r="W116" s="98"/>
      <c r="X116" s="98">
        <f t="shared" si="40"/>
        <v>0</v>
      </c>
      <c r="Y116" s="214">
        <f t="shared" si="60"/>
        <v>0</v>
      </c>
      <c r="Z116" s="98"/>
      <c r="AA116" s="98">
        <f t="shared" si="41"/>
        <v>0</v>
      </c>
      <c r="AB116" s="214">
        <f t="shared" si="61"/>
        <v>0</v>
      </c>
      <c r="AC116" s="98"/>
      <c r="AD116" s="98">
        <f t="shared" si="42"/>
        <v>0</v>
      </c>
      <c r="AE116" s="214">
        <f t="shared" si="62"/>
        <v>0</v>
      </c>
      <c r="AF116" s="98"/>
      <c r="AG116" s="98">
        <f t="shared" si="43"/>
        <v>0</v>
      </c>
      <c r="AH116" s="214">
        <f t="shared" si="63"/>
        <v>0</v>
      </c>
      <c r="AI116" s="98"/>
      <c r="AJ116" s="98">
        <f t="shared" si="44"/>
        <v>0</v>
      </c>
      <c r="AK116" s="214">
        <f t="shared" si="64"/>
        <v>0</v>
      </c>
      <c r="AL116" s="98"/>
      <c r="AM116" s="98">
        <f t="shared" si="45"/>
        <v>0</v>
      </c>
      <c r="AN116" s="214">
        <f t="shared" si="65"/>
        <v>0</v>
      </c>
      <c r="AO116" s="98"/>
      <c r="AP116" s="98">
        <f t="shared" si="46"/>
        <v>0</v>
      </c>
      <c r="AQ116" s="214">
        <f t="shared" si="66"/>
        <v>0</v>
      </c>
      <c r="AR116" s="98"/>
      <c r="AS116" s="98">
        <f t="shared" si="47"/>
        <v>0</v>
      </c>
      <c r="AT116" s="214">
        <f t="shared" si="67"/>
        <v>0</v>
      </c>
      <c r="AU116" s="98"/>
      <c r="AV116" s="215">
        <f t="shared" si="48"/>
        <v>0</v>
      </c>
      <c r="AW116" s="214">
        <f t="shared" si="68"/>
        <v>0</v>
      </c>
      <c r="AX116" s="98">
        <f t="shared" si="69"/>
        <v>0</v>
      </c>
      <c r="AY116" s="204">
        <f t="shared" si="49"/>
        <v>0</v>
      </c>
      <c r="AZ116" s="214">
        <f t="shared" si="71"/>
        <v>100</v>
      </c>
      <c r="BA116" s="98">
        <f t="shared" si="70"/>
        <v>3</v>
      </c>
      <c r="BB116" s="204">
        <f t="shared" si="50"/>
        <v>83.52</v>
      </c>
    </row>
    <row r="117" spans="1:54" s="3" customFormat="1" x14ac:dyDescent="0.2">
      <c r="A117" s="324" t="s">
        <v>1113</v>
      </c>
      <c r="B117" s="87" t="s">
        <v>1055</v>
      </c>
      <c r="C117" s="87" t="s">
        <v>104</v>
      </c>
      <c r="D117" s="92" t="s">
        <v>1114</v>
      </c>
      <c r="E117" s="28" t="s">
        <v>110</v>
      </c>
      <c r="F117" s="357">
        <f>1.25*3.76</f>
        <v>4.6999999999999993</v>
      </c>
      <c r="G117" s="326">
        <v>1</v>
      </c>
      <c r="H117" s="66">
        <f t="shared" si="53"/>
        <v>1</v>
      </c>
      <c r="I117" s="37">
        <f t="shared" si="51"/>
        <v>0</v>
      </c>
      <c r="J117" s="37">
        <f t="shared" si="52"/>
        <v>5.91</v>
      </c>
      <c r="K117" s="38">
        <f t="shared" si="54"/>
        <v>5.91</v>
      </c>
      <c r="L117" s="244">
        <f t="shared" si="55"/>
        <v>0</v>
      </c>
      <c r="M117" s="213">
        <f t="shared" si="56"/>
        <v>0</v>
      </c>
      <c r="N117" s="98"/>
      <c r="O117" s="98">
        <f t="shared" si="37"/>
        <v>0</v>
      </c>
      <c r="P117" s="214">
        <f t="shared" si="57"/>
        <v>0</v>
      </c>
      <c r="Q117" s="98"/>
      <c r="R117" s="98">
        <f t="shared" si="38"/>
        <v>0</v>
      </c>
      <c r="S117" s="214">
        <f t="shared" si="58"/>
        <v>0</v>
      </c>
      <c r="T117" s="98"/>
      <c r="U117" s="98">
        <f t="shared" si="39"/>
        <v>0</v>
      </c>
      <c r="V117" s="214">
        <f t="shared" si="59"/>
        <v>0</v>
      </c>
      <c r="W117" s="98"/>
      <c r="X117" s="98">
        <f t="shared" si="40"/>
        <v>0</v>
      </c>
      <c r="Y117" s="214">
        <f t="shared" si="60"/>
        <v>0</v>
      </c>
      <c r="Z117" s="98"/>
      <c r="AA117" s="98">
        <f t="shared" si="41"/>
        <v>0</v>
      </c>
      <c r="AB117" s="214">
        <f t="shared" si="61"/>
        <v>0</v>
      </c>
      <c r="AC117" s="98"/>
      <c r="AD117" s="98">
        <f t="shared" si="42"/>
        <v>0</v>
      </c>
      <c r="AE117" s="214">
        <f t="shared" si="62"/>
        <v>0</v>
      </c>
      <c r="AF117" s="98"/>
      <c r="AG117" s="98">
        <f t="shared" si="43"/>
        <v>0</v>
      </c>
      <c r="AH117" s="214">
        <f t="shared" si="63"/>
        <v>0</v>
      </c>
      <c r="AI117" s="98"/>
      <c r="AJ117" s="98">
        <f t="shared" si="44"/>
        <v>0</v>
      </c>
      <c r="AK117" s="214">
        <f t="shared" si="64"/>
        <v>0</v>
      </c>
      <c r="AL117" s="98"/>
      <c r="AM117" s="98">
        <f t="shared" si="45"/>
        <v>0</v>
      </c>
      <c r="AN117" s="214">
        <f t="shared" si="65"/>
        <v>0</v>
      </c>
      <c r="AO117" s="98"/>
      <c r="AP117" s="98">
        <f t="shared" si="46"/>
        <v>0</v>
      </c>
      <c r="AQ117" s="214">
        <f t="shared" si="66"/>
        <v>0</v>
      </c>
      <c r="AR117" s="98"/>
      <c r="AS117" s="98">
        <f t="shared" si="47"/>
        <v>0</v>
      </c>
      <c r="AT117" s="214">
        <f t="shared" si="67"/>
        <v>0</v>
      </c>
      <c r="AU117" s="98"/>
      <c r="AV117" s="215">
        <f t="shared" si="48"/>
        <v>0</v>
      </c>
      <c r="AW117" s="214">
        <f t="shared" si="68"/>
        <v>0</v>
      </c>
      <c r="AX117" s="98">
        <f t="shared" si="69"/>
        <v>0</v>
      </c>
      <c r="AY117" s="204">
        <f t="shared" si="49"/>
        <v>0</v>
      </c>
      <c r="AZ117" s="214">
        <f t="shared" si="71"/>
        <v>100</v>
      </c>
      <c r="BA117" s="98">
        <f t="shared" si="70"/>
        <v>1</v>
      </c>
      <c r="BB117" s="204">
        <f t="shared" si="50"/>
        <v>5.91</v>
      </c>
    </row>
    <row r="118" spans="1:54" s="3" customFormat="1" x14ac:dyDescent="0.2">
      <c r="A118" s="324" t="s">
        <v>1115</v>
      </c>
      <c r="B118" s="87" t="s">
        <v>1055</v>
      </c>
      <c r="C118" s="87" t="s">
        <v>104</v>
      </c>
      <c r="D118" s="96" t="s">
        <v>1116</v>
      </c>
      <c r="E118" s="87" t="s">
        <v>1057</v>
      </c>
      <c r="F118" s="364">
        <f>1.25*5.26</f>
        <v>6.5749999999999993</v>
      </c>
      <c r="G118" s="326">
        <v>3</v>
      </c>
      <c r="H118" s="66">
        <f t="shared" si="53"/>
        <v>3</v>
      </c>
      <c r="I118" s="37">
        <f t="shared" si="51"/>
        <v>0</v>
      </c>
      <c r="J118" s="37">
        <f t="shared" si="52"/>
        <v>8.27</v>
      </c>
      <c r="K118" s="38">
        <f t="shared" si="54"/>
        <v>24.81</v>
      </c>
      <c r="L118" s="244">
        <f t="shared" si="55"/>
        <v>0</v>
      </c>
      <c r="M118" s="213">
        <f t="shared" si="56"/>
        <v>0</v>
      </c>
      <c r="N118" s="98"/>
      <c r="O118" s="98">
        <f t="shared" si="37"/>
        <v>0</v>
      </c>
      <c r="P118" s="214">
        <f t="shared" si="57"/>
        <v>0</v>
      </c>
      <c r="Q118" s="98"/>
      <c r="R118" s="98">
        <f t="shared" si="38"/>
        <v>0</v>
      </c>
      <c r="S118" s="214">
        <f t="shared" si="58"/>
        <v>0</v>
      </c>
      <c r="T118" s="98"/>
      <c r="U118" s="98">
        <f t="shared" si="39"/>
        <v>0</v>
      </c>
      <c r="V118" s="214">
        <f t="shared" si="59"/>
        <v>0</v>
      </c>
      <c r="W118" s="98"/>
      <c r="X118" s="98">
        <f t="shared" si="40"/>
        <v>0</v>
      </c>
      <c r="Y118" s="214">
        <f t="shared" si="60"/>
        <v>0</v>
      </c>
      <c r="Z118" s="98"/>
      <c r="AA118" s="98">
        <f t="shared" si="41"/>
        <v>0</v>
      </c>
      <c r="AB118" s="214">
        <f t="shared" si="61"/>
        <v>0</v>
      </c>
      <c r="AC118" s="98"/>
      <c r="AD118" s="98">
        <f t="shared" si="42"/>
        <v>0</v>
      </c>
      <c r="AE118" s="214">
        <f t="shared" si="62"/>
        <v>0</v>
      </c>
      <c r="AF118" s="98"/>
      <c r="AG118" s="98">
        <f t="shared" si="43"/>
        <v>0</v>
      </c>
      <c r="AH118" s="214">
        <f t="shared" si="63"/>
        <v>0</v>
      </c>
      <c r="AI118" s="98"/>
      <c r="AJ118" s="98">
        <f t="shared" si="44"/>
        <v>0</v>
      </c>
      <c r="AK118" s="214">
        <f t="shared" si="64"/>
        <v>0</v>
      </c>
      <c r="AL118" s="98"/>
      <c r="AM118" s="98">
        <f t="shared" si="45"/>
        <v>0</v>
      </c>
      <c r="AN118" s="214">
        <f t="shared" si="65"/>
        <v>0</v>
      </c>
      <c r="AO118" s="98"/>
      <c r="AP118" s="98">
        <f t="shared" si="46"/>
        <v>0</v>
      </c>
      <c r="AQ118" s="214">
        <f t="shared" si="66"/>
        <v>0</v>
      </c>
      <c r="AR118" s="98"/>
      <c r="AS118" s="98">
        <f t="shared" si="47"/>
        <v>0</v>
      </c>
      <c r="AT118" s="214">
        <f t="shared" si="67"/>
        <v>0</v>
      </c>
      <c r="AU118" s="98"/>
      <c r="AV118" s="215">
        <f t="shared" si="48"/>
        <v>0</v>
      </c>
      <c r="AW118" s="214">
        <f t="shared" si="68"/>
        <v>0</v>
      </c>
      <c r="AX118" s="98">
        <f t="shared" si="69"/>
        <v>0</v>
      </c>
      <c r="AY118" s="204">
        <f t="shared" si="49"/>
        <v>0</v>
      </c>
      <c r="AZ118" s="214">
        <f t="shared" si="71"/>
        <v>100</v>
      </c>
      <c r="BA118" s="98">
        <f t="shared" si="70"/>
        <v>3</v>
      </c>
      <c r="BB118" s="204">
        <f t="shared" si="50"/>
        <v>24.81</v>
      </c>
    </row>
    <row r="119" spans="1:54" s="3" customFormat="1" x14ac:dyDescent="0.2">
      <c r="A119" s="324" t="s">
        <v>1117</v>
      </c>
      <c r="B119" s="87" t="s">
        <v>1055</v>
      </c>
      <c r="C119" s="87" t="s">
        <v>104</v>
      </c>
      <c r="D119" s="92" t="s">
        <v>1051</v>
      </c>
      <c r="E119" s="28" t="s">
        <v>110</v>
      </c>
      <c r="F119" s="357">
        <f>1.25*13.68</f>
        <v>17.100000000000001</v>
      </c>
      <c r="G119" s="326">
        <v>7</v>
      </c>
      <c r="H119" s="66">
        <f t="shared" si="53"/>
        <v>7</v>
      </c>
      <c r="I119" s="37">
        <f t="shared" si="51"/>
        <v>0</v>
      </c>
      <c r="J119" s="37">
        <f t="shared" si="52"/>
        <v>21.51</v>
      </c>
      <c r="K119" s="38">
        <f t="shared" si="54"/>
        <v>150.57</v>
      </c>
      <c r="L119" s="244">
        <f t="shared" si="55"/>
        <v>0</v>
      </c>
      <c r="M119" s="213">
        <f t="shared" si="56"/>
        <v>0</v>
      </c>
      <c r="N119" s="98"/>
      <c r="O119" s="98">
        <f t="shared" si="37"/>
        <v>0</v>
      </c>
      <c r="P119" s="214">
        <f t="shared" si="57"/>
        <v>0</v>
      </c>
      <c r="Q119" s="98"/>
      <c r="R119" s="98">
        <f t="shared" si="38"/>
        <v>0</v>
      </c>
      <c r="S119" s="214">
        <f t="shared" si="58"/>
        <v>0</v>
      </c>
      <c r="T119" s="98"/>
      <c r="U119" s="98">
        <f t="shared" si="39"/>
        <v>0</v>
      </c>
      <c r="V119" s="214">
        <f t="shared" si="59"/>
        <v>0</v>
      </c>
      <c r="W119" s="98"/>
      <c r="X119" s="98">
        <f t="shared" si="40"/>
        <v>0</v>
      </c>
      <c r="Y119" s="214">
        <f t="shared" si="60"/>
        <v>0</v>
      </c>
      <c r="Z119" s="98"/>
      <c r="AA119" s="98">
        <f t="shared" si="41"/>
        <v>0</v>
      </c>
      <c r="AB119" s="214">
        <f t="shared" si="61"/>
        <v>0</v>
      </c>
      <c r="AC119" s="98"/>
      <c r="AD119" s="98">
        <f t="shared" si="42"/>
        <v>0</v>
      </c>
      <c r="AE119" s="214">
        <f t="shared" si="62"/>
        <v>0</v>
      </c>
      <c r="AF119" s="98"/>
      <c r="AG119" s="98">
        <f t="shared" si="43"/>
        <v>0</v>
      </c>
      <c r="AH119" s="214">
        <f t="shared" si="63"/>
        <v>0</v>
      </c>
      <c r="AI119" s="98"/>
      <c r="AJ119" s="98">
        <f t="shared" si="44"/>
        <v>0</v>
      </c>
      <c r="AK119" s="214">
        <f t="shared" si="64"/>
        <v>0</v>
      </c>
      <c r="AL119" s="98"/>
      <c r="AM119" s="98">
        <f t="shared" si="45"/>
        <v>0</v>
      </c>
      <c r="AN119" s="214">
        <f t="shared" si="65"/>
        <v>0</v>
      </c>
      <c r="AO119" s="98"/>
      <c r="AP119" s="98">
        <f t="shared" si="46"/>
        <v>0</v>
      </c>
      <c r="AQ119" s="214">
        <f t="shared" si="66"/>
        <v>0</v>
      </c>
      <c r="AR119" s="98"/>
      <c r="AS119" s="98">
        <f t="shared" si="47"/>
        <v>0</v>
      </c>
      <c r="AT119" s="214">
        <f t="shared" si="67"/>
        <v>0</v>
      </c>
      <c r="AU119" s="98"/>
      <c r="AV119" s="215">
        <f t="shared" si="48"/>
        <v>0</v>
      </c>
      <c r="AW119" s="214">
        <f t="shared" si="68"/>
        <v>0</v>
      </c>
      <c r="AX119" s="98">
        <f t="shared" si="69"/>
        <v>0</v>
      </c>
      <c r="AY119" s="204">
        <f t="shared" si="49"/>
        <v>0</v>
      </c>
      <c r="AZ119" s="214">
        <f t="shared" si="71"/>
        <v>100</v>
      </c>
      <c r="BA119" s="98">
        <f t="shared" si="70"/>
        <v>7</v>
      </c>
      <c r="BB119" s="204">
        <f t="shared" si="50"/>
        <v>150.57</v>
      </c>
    </row>
    <row r="120" spans="1:54" s="3" customFormat="1" ht="28.5" x14ac:dyDescent="0.2">
      <c r="A120" s="324" t="s">
        <v>1118</v>
      </c>
      <c r="B120" s="87" t="s">
        <v>1055</v>
      </c>
      <c r="C120" s="87" t="s">
        <v>104</v>
      </c>
      <c r="D120" s="92" t="s">
        <v>1119</v>
      </c>
      <c r="E120" s="28" t="s">
        <v>110</v>
      </c>
      <c r="F120" s="357">
        <f>1.25*13.73</f>
        <v>17.162500000000001</v>
      </c>
      <c r="G120" s="326">
        <v>15</v>
      </c>
      <c r="H120" s="66">
        <f t="shared" si="53"/>
        <v>15</v>
      </c>
      <c r="I120" s="37">
        <f t="shared" si="51"/>
        <v>0</v>
      </c>
      <c r="J120" s="37">
        <f t="shared" si="52"/>
        <v>21.59</v>
      </c>
      <c r="K120" s="38">
        <f t="shared" si="54"/>
        <v>323.85000000000002</v>
      </c>
      <c r="L120" s="244">
        <f t="shared" si="55"/>
        <v>0</v>
      </c>
      <c r="M120" s="213">
        <f t="shared" si="56"/>
        <v>0</v>
      </c>
      <c r="N120" s="98"/>
      <c r="O120" s="98">
        <f t="shared" si="37"/>
        <v>0</v>
      </c>
      <c r="P120" s="214">
        <f t="shared" si="57"/>
        <v>0</v>
      </c>
      <c r="Q120" s="98"/>
      <c r="R120" s="98">
        <f t="shared" si="38"/>
        <v>0</v>
      </c>
      <c r="S120" s="214">
        <f t="shared" si="58"/>
        <v>0</v>
      </c>
      <c r="T120" s="98"/>
      <c r="U120" s="98">
        <f t="shared" si="39"/>
        <v>0</v>
      </c>
      <c r="V120" s="214">
        <f t="shared" si="59"/>
        <v>0</v>
      </c>
      <c r="W120" s="98"/>
      <c r="X120" s="98">
        <f t="shared" si="40"/>
        <v>0</v>
      </c>
      <c r="Y120" s="214">
        <f t="shared" si="60"/>
        <v>0</v>
      </c>
      <c r="Z120" s="98"/>
      <c r="AA120" s="98">
        <f t="shared" si="41"/>
        <v>0</v>
      </c>
      <c r="AB120" s="214">
        <f t="shared" si="61"/>
        <v>0</v>
      </c>
      <c r="AC120" s="98"/>
      <c r="AD120" s="98">
        <f t="shared" si="42"/>
        <v>0</v>
      </c>
      <c r="AE120" s="214">
        <f t="shared" si="62"/>
        <v>0</v>
      </c>
      <c r="AF120" s="98"/>
      <c r="AG120" s="98">
        <f t="shared" si="43"/>
        <v>0</v>
      </c>
      <c r="AH120" s="214">
        <f t="shared" si="63"/>
        <v>0</v>
      </c>
      <c r="AI120" s="98"/>
      <c r="AJ120" s="98">
        <f t="shared" si="44"/>
        <v>0</v>
      </c>
      <c r="AK120" s="214">
        <f t="shared" si="64"/>
        <v>0</v>
      </c>
      <c r="AL120" s="98"/>
      <c r="AM120" s="98">
        <f t="shared" si="45"/>
        <v>0</v>
      </c>
      <c r="AN120" s="214">
        <f t="shared" si="65"/>
        <v>0</v>
      </c>
      <c r="AO120" s="98"/>
      <c r="AP120" s="98">
        <f t="shared" si="46"/>
        <v>0</v>
      </c>
      <c r="AQ120" s="214">
        <f t="shared" si="66"/>
        <v>0</v>
      </c>
      <c r="AR120" s="98"/>
      <c r="AS120" s="98">
        <f t="shared" si="47"/>
        <v>0</v>
      </c>
      <c r="AT120" s="214">
        <f t="shared" si="67"/>
        <v>0</v>
      </c>
      <c r="AU120" s="98"/>
      <c r="AV120" s="215">
        <f t="shared" si="48"/>
        <v>0</v>
      </c>
      <c r="AW120" s="214">
        <f t="shared" si="68"/>
        <v>0</v>
      </c>
      <c r="AX120" s="98">
        <f t="shared" si="69"/>
        <v>0</v>
      </c>
      <c r="AY120" s="204">
        <f t="shared" si="49"/>
        <v>0</v>
      </c>
      <c r="AZ120" s="214">
        <f t="shared" si="71"/>
        <v>100</v>
      </c>
      <c r="BA120" s="98">
        <f t="shared" si="70"/>
        <v>15</v>
      </c>
      <c r="BB120" s="204">
        <f t="shared" si="50"/>
        <v>323.85000000000002</v>
      </c>
    </row>
    <row r="121" spans="1:54" s="3" customFormat="1" x14ac:dyDescent="0.2">
      <c r="A121" s="324" t="s">
        <v>1120</v>
      </c>
      <c r="B121" s="87" t="s">
        <v>1055</v>
      </c>
      <c r="C121" s="87" t="s">
        <v>104</v>
      </c>
      <c r="D121" s="92" t="s">
        <v>1121</v>
      </c>
      <c r="E121" s="28" t="s">
        <v>275</v>
      </c>
      <c r="F121" s="357">
        <f>1.25*18.73</f>
        <v>23.412500000000001</v>
      </c>
      <c r="G121" s="326">
        <v>35</v>
      </c>
      <c r="H121" s="66">
        <f t="shared" si="53"/>
        <v>35</v>
      </c>
      <c r="I121" s="37">
        <f t="shared" si="51"/>
        <v>0</v>
      </c>
      <c r="J121" s="37">
        <f t="shared" si="52"/>
        <v>29.46</v>
      </c>
      <c r="K121" s="38">
        <f t="shared" si="54"/>
        <v>1031.0999999999999</v>
      </c>
      <c r="L121" s="244">
        <f t="shared" si="55"/>
        <v>0</v>
      </c>
      <c r="M121" s="213">
        <f t="shared" si="56"/>
        <v>0</v>
      </c>
      <c r="N121" s="98"/>
      <c r="O121" s="98">
        <f t="shared" si="37"/>
        <v>0</v>
      </c>
      <c r="P121" s="214">
        <f t="shared" si="57"/>
        <v>0</v>
      </c>
      <c r="Q121" s="98"/>
      <c r="R121" s="98">
        <f t="shared" si="38"/>
        <v>0</v>
      </c>
      <c r="S121" s="214">
        <f t="shared" si="58"/>
        <v>0</v>
      </c>
      <c r="T121" s="98"/>
      <c r="U121" s="98">
        <f t="shared" si="39"/>
        <v>0</v>
      </c>
      <c r="V121" s="214">
        <f t="shared" si="59"/>
        <v>0</v>
      </c>
      <c r="W121" s="98"/>
      <c r="X121" s="98">
        <f t="shared" si="40"/>
        <v>0</v>
      </c>
      <c r="Y121" s="214">
        <f t="shared" si="60"/>
        <v>0</v>
      </c>
      <c r="Z121" s="98"/>
      <c r="AA121" s="98">
        <f t="shared" si="41"/>
        <v>0</v>
      </c>
      <c r="AB121" s="214">
        <f t="shared" si="61"/>
        <v>0</v>
      </c>
      <c r="AC121" s="98"/>
      <c r="AD121" s="98">
        <f t="shared" si="42"/>
        <v>0</v>
      </c>
      <c r="AE121" s="214">
        <f t="shared" si="62"/>
        <v>0</v>
      </c>
      <c r="AF121" s="98"/>
      <c r="AG121" s="98">
        <f t="shared" si="43"/>
        <v>0</v>
      </c>
      <c r="AH121" s="214">
        <f t="shared" si="63"/>
        <v>0</v>
      </c>
      <c r="AI121" s="98"/>
      <c r="AJ121" s="98">
        <f t="shared" si="44"/>
        <v>0</v>
      </c>
      <c r="AK121" s="214">
        <f t="shared" si="64"/>
        <v>0</v>
      </c>
      <c r="AL121" s="98"/>
      <c r="AM121" s="98">
        <f t="shared" si="45"/>
        <v>0</v>
      </c>
      <c r="AN121" s="214">
        <f t="shared" si="65"/>
        <v>0</v>
      </c>
      <c r="AO121" s="98"/>
      <c r="AP121" s="98">
        <f t="shared" si="46"/>
        <v>0</v>
      </c>
      <c r="AQ121" s="214">
        <f t="shared" si="66"/>
        <v>0</v>
      </c>
      <c r="AR121" s="98"/>
      <c r="AS121" s="98">
        <f t="shared" si="47"/>
        <v>0</v>
      </c>
      <c r="AT121" s="214">
        <f t="shared" si="67"/>
        <v>0</v>
      </c>
      <c r="AU121" s="98"/>
      <c r="AV121" s="215">
        <f t="shared" si="48"/>
        <v>0</v>
      </c>
      <c r="AW121" s="214">
        <f t="shared" si="68"/>
        <v>0</v>
      </c>
      <c r="AX121" s="98">
        <f t="shared" si="69"/>
        <v>0</v>
      </c>
      <c r="AY121" s="204">
        <f t="shared" si="49"/>
        <v>0</v>
      </c>
      <c r="AZ121" s="214">
        <f t="shared" si="71"/>
        <v>100</v>
      </c>
      <c r="BA121" s="98">
        <f t="shared" si="70"/>
        <v>35</v>
      </c>
      <c r="BB121" s="204">
        <f t="shared" si="50"/>
        <v>1031.0999999999999</v>
      </c>
    </row>
    <row r="122" spans="1:54" s="3" customFormat="1" x14ac:dyDescent="0.2">
      <c r="A122" s="324" t="s">
        <v>1122</v>
      </c>
      <c r="B122" s="87" t="s">
        <v>1055</v>
      </c>
      <c r="C122" s="87" t="s">
        <v>104</v>
      </c>
      <c r="D122" s="96" t="s">
        <v>1123</v>
      </c>
      <c r="E122" s="87" t="s">
        <v>119</v>
      </c>
      <c r="F122" s="364">
        <f>1.25*58</f>
        <v>72.5</v>
      </c>
      <c r="G122" s="17">
        <v>0.5</v>
      </c>
      <c r="H122" s="66">
        <f t="shared" si="53"/>
        <v>0.5</v>
      </c>
      <c r="I122" s="37">
        <f t="shared" si="51"/>
        <v>0</v>
      </c>
      <c r="J122" s="37">
        <f t="shared" si="52"/>
        <v>91.21</v>
      </c>
      <c r="K122" s="38">
        <f t="shared" si="54"/>
        <v>45.6</v>
      </c>
      <c r="L122" s="244">
        <f t="shared" si="55"/>
        <v>0</v>
      </c>
      <c r="M122" s="213">
        <f t="shared" si="56"/>
        <v>0</v>
      </c>
      <c r="N122" s="98"/>
      <c r="O122" s="98">
        <f t="shared" si="37"/>
        <v>0</v>
      </c>
      <c r="P122" s="214">
        <f t="shared" si="57"/>
        <v>0</v>
      </c>
      <c r="Q122" s="98"/>
      <c r="R122" s="98">
        <f t="shared" si="38"/>
        <v>0</v>
      </c>
      <c r="S122" s="214">
        <f t="shared" si="58"/>
        <v>0</v>
      </c>
      <c r="T122" s="98"/>
      <c r="U122" s="98">
        <f t="shared" si="39"/>
        <v>0</v>
      </c>
      <c r="V122" s="214">
        <f t="shared" si="59"/>
        <v>0</v>
      </c>
      <c r="W122" s="98"/>
      <c r="X122" s="98">
        <f t="shared" si="40"/>
        <v>0</v>
      </c>
      <c r="Y122" s="214">
        <f t="shared" si="60"/>
        <v>0</v>
      </c>
      <c r="Z122" s="98"/>
      <c r="AA122" s="98">
        <f t="shared" si="41"/>
        <v>0</v>
      </c>
      <c r="AB122" s="214">
        <f t="shared" si="61"/>
        <v>0</v>
      </c>
      <c r="AC122" s="98"/>
      <c r="AD122" s="98">
        <f t="shared" si="42"/>
        <v>0</v>
      </c>
      <c r="AE122" s="214">
        <f t="shared" si="62"/>
        <v>0</v>
      </c>
      <c r="AF122" s="98"/>
      <c r="AG122" s="98">
        <f t="shared" si="43"/>
        <v>0</v>
      </c>
      <c r="AH122" s="214">
        <f t="shared" si="63"/>
        <v>0</v>
      </c>
      <c r="AI122" s="98"/>
      <c r="AJ122" s="98">
        <f t="shared" si="44"/>
        <v>0</v>
      </c>
      <c r="AK122" s="214">
        <f t="shared" si="64"/>
        <v>0</v>
      </c>
      <c r="AL122" s="98"/>
      <c r="AM122" s="98">
        <f t="shared" si="45"/>
        <v>0</v>
      </c>
      <c r="AN122" s="214">
        <f t="shared" si="65"/>
        <v>0</v>
      </c>
      <c r="AO122" s="98"/>
      <c r="AP122" s="98">
        <f t="shared" si="46"/>
        <v>0</v>
      </c>
      <c r="AQ122" s="214">
        <f t="shared" si="66"/>
        <v>0</v>
      </c>
      <c r="AR122" s="98"/>
      <c r="AS122" s="98">
        <f t="shared" si="47"/>
        <v>0</v>
      </c>
      <c r="AT122" s="214">
        <f t="shared" si="67"/>
        <v>0</v>
      </c>
      <c r="AU122" s="98"/>
      <c r="AV122" s="215">
        <f t="shared" si="48"/>
        <v>0</v>
      </c>
      <c r="AW122" s="214">
        <f t="shared" si="68"/>
        <v>0</v>
      </c>
      <c r="AX122" s="98">
        <f t="shared" si="69"/>
        <v>0</v>
      </c>
      <c r="AY122" s="204">
        <f t="shared" si="49"/>
        <v>0</v>
      </c>
      <c r="AZ122" s="214">
        <f t="shared" si="71"/>
        <v>100</v>
      </c>
      <c r="BA122" s="98">
        <f t="shared" si="70"/>
        <v>0.5</v>
      </c>
      <c r="BB122" s="204">
        <f t="shared" si="50"/>
        <v>45.6</v>
      </c>
    </row>
    <row r="123" spans="1:54" s="3" customFormat="1" x14ac:dyDescent="0.2">
      <c r="A123" s="324" t="s">
        <v>1124</v>
      </c>
      <c r="B123" s="87" t="s">
        <v>1055</v>
      </c>
      <c r="C123" s="87" t="s">
        <v>104</v>
      </c>
      <c r="D123" s="96" t="s">
        <v>1125</v>
      </c>
      <c r="E123" s="87" t="s">
        <v>119</v>
      </c>
      <c r="F123" s="364">
        <f>1.25*47</f>
        <v>58.75</v>
      </c>
      <c r="G123" s="17">
        <v>0.5</v>
      </c>
      <c r="H123" s="66">
        <f t="shared" si="53"/>
        <v>0.5</v>
      </c>
      <c r="I123" s="37">
        <f t="shared" si="51"/>
        <v>0</v>
      </c>
      <c r="J123" s="37">
        <f t="shared" si="52"/>
        <v>73.91</v>
      </c>
      <c r="K123" s="38">
        <f t="shared" si="54"/>
        <v>36.950000000000003</v>
      </c>
      <c r="L123" s="244">
        <f t="shared" si="55"/>
        <v>0</v>
      </c>
      <c r="M123" s="213">
        <f t="shared" si="56"/>
        <v>0</v>
      </c>
      <c r="N123" s="98"/>
      <c r="O123" s="98">
        <f t="shared" si="37"/>
        <v>0</v>
      </c>
      <c r="P123" s="214">
        <f t="shared" si="57"/>
        <v>0</v>
      </c>
      <c r="Q123" s="98"/>
      <c r="R123" s="98">
        <f t="shared" si="38"/>
        <v>0</v>
      </c>
      <c r="S123" s="214">
        <f t="shared" si="58"/>
        <v>0</v>
      </c>
      <c r="T123" s="98"/>
      <c r="U123" s="98">
        <f t="shared" si="39"/>
        <v>0</v>
      </c>
      <c r="V123" s="214">
        <f t="shared" si="59"/>
        <v>0</v>
      </c>
      <c r="W123" s="98"/>
      <c r="X123" s="98">
        <f t="shared" si="40"/>
        <v>0</v>
      </c>
      <c r="Y123" s="214">
        <f t="shared" si="60"/>
        <v>0</v>
      </c>
      <c r="Z123" s="98"/>
      <c r="AA123" s="98">
        <f t="shared" si="41"/>
        <v>0</v>
      </c>
      <c r="AB123" s="214">
        <f t="shared" si="61"/>
        <v>0</v>
      </c>
      <c r="AC123" s="98"/>
      <c r="AD123" s="98">
        <f t="shared" si="42"/>
        <v>0</v>
      </c>
      <c r="AE123" s="214">
        <f t="shared" si="62"/>
        <v>0</v>
      </c>
      <c r="AF123" s="98"/>
      <c r="AG123" s="98">
        <f t="shared" si="43"/>
        <v>0</v>
      </c>
      <c r="AH123" s="214">
        <f t="shared" si="63"/>
        <v>0</v>
      </c>
      <c r="AI123" s="98"/>
      <c r="AJ123" s="98">
        <f t="shared" si="44"/>
        <v>0</v>
      </c>
      <c r="AK123" s="214">
        <f t="shared" si="64"/>
        <v>0</v>
      </c>
      <c r="AL123" s="98"/>
      <c r="AM123" s="98">
        <f t="shared" si="45"/>
        <v>0</v>
      </c>
      <c r="AN123" s="214">
        <f t="shared" si="65"/>
        <v>0</v>
      </c>
      <c r="AO123" s="98"/>
      <c r="AP123" s="98">
        <f t="shared" si="46"/>
        <v>0</v>
      </c>
      <c r="AQ123" s="214">
        <f t="shared" si="66"/>
        <v>0</v>
      </c>
      <c r="AR123" s="98"/>
      <c r="AS123" s="98">
        <f t="shared" si="47"/>
        <v>0</v>
      </c>
      <c r="AT123" s="214">
        <f t="shared" si="67"/>
        <v>0</v>
      </c>
      <c r="AU123" s="98"/>
      <c r="AV123" s="215">
        <f t="shared" si="48"/>
        <v>0</v>
      </c>
      <c r="AW123" s="214">
        <f t="shared" si="68"/>
        <v>0</v>
      </c>
      <c r="AX123" s="98">
        <f t="shared" si="69"/>
        <v>0</v>
      </c>
      <c r="AY123" s="204">
        <f t="shared" si="49"/>
        <v>0</v>
      </c>
      <c r="AZ123" s="214">
        <f t="shared" si="71"/>
        <v>100</v>
      </c>
      <c r="BA123" s="98">
        <f t="shared" si="70"/>
        <v>0.5</v>
      </c>
      <c r="BB123" s="204">
        <f t="shared" si="50"/>
        <v>36.950000000000003</v>
      </c>
    </row>
    <row r="124" spans="1:54" s="3" customFormat="1" x14ac:dyDescent="0.2">
      <c r="A124" s="324" t="s">
        <v>1126</v>
      </c>
      <c r="B124" s="87" t="s">
        <v>1055</v>
      </c>
      <c r="C124" s="87" t="s">
        <v>104</v>
      </c>
      <c r="D124" s="96" t="s">
        <v>1127</v>
      </c>
      <c r="E124" s="87" t="s">
        <v>1057</v>
      </c>
      <c r="F124" s="364">
        <f>1.25*17</f>
        <v>21.25</v>
      </c>
      <c r="G124" s="17">
        <v>2</v>
      </c>
      <c r="H124" s="66">
        <f t="shared" si="53"/>
        <v>2</v>
      </c>
      <c r="I124" s="37">
        <f t="shared" si="51"/>
        <v>0</v>
      </c>
      <c r="J124" s="37">
        <f t="shared" si="52"/>
        <v>26.73</v>
      </c>
      <c r="K124" s="38">
        <f t="shared" si="54"/>
        <v>53.46</v>
      </c>
      <c r="L124" s="244">
        <f t="shared" si="55"/>
        <v>0</v>
      </c>
      <c r="M124" s="213">
        <f t="shared" si="56"/>
        <v>0</v>
      </c>
      <c r="N124" s="98"/>
      <c r="O124" s="98">
        <f t="shared" si="37"/>
        <v>0</v>
      </c>
      <c r="P124" s="214">
        <f t="shared" si="57"/>
        <v>0</v>
      </c>
      <c r="Q124" s="98"/>
      <c r="R124" s="98">
        <f t="shared" si="38"/>
        <v>0</v>
      </c>
      <c r="S124" s="214">
        <f t="shared" si="58"/>
        <v>0</v>
      </c>
      <c r="T124" s="98"/>
      <c r="U124" s="98">
        <f t="shared" si="39"/>
        <v>0</v>
      </c>
      <c r="V124" s="214">
        <f t="shared" si="59"/>
        <v>0</v>
      </c>
      <c r="W124" s="98"/>
      <c r="X124" s="98">
        <f t="shared" si="40"/>
        <v>0</v>
      </c>
      <c r="Y124" s="214">
        <f t="shared" si="60"/>
        <v>0</v>
      </c>
      <c r="Z124" s="98"/>
      <c r="AA124" s="98">
        <f t="shared" si="41"/>
        <v>0</v>
      </c>
      <c r="AB124" s="214">
        <f t="shared" si="61"/>
        <v>0</v>
      </c>
      <c r="AC124" s="98"/>
      <c r="AD124" s="98">
        <f t="shared" si="42"/>
        <v>0</v>
      </c>
      <c r="AE124" s="214">
        <f t="shared" si="62"/>
        <v>0</v>
      </c>
      <c r="AF124" s="98"/>
      <c r="AG124" s="98">
        <f t="shared" si="43"/>
        <v>0</v>
      </c>
      <c r="AH124" s="214">
        <f t="shared" si="63"/>
        <v>0</v>
      </c>
      <c r="AI124" s="98"/>
      <c r="AJ124" s="98">
        <f t="shared" si="44"/>
        <v>0</v>
      </c>
      <c r="AK124" s="214">
        <f t="shared" si="64"/>
        <v>0</v>
      </c>
      <c r="AL124" s="98"/>
      <c r="AM124" s="98">
        <f t="shared" si="45"/>
        <v>0</v>
      </c>
      <c r="AN124" s="214">
        <f t="shared" si="65"/>
        <v>0</v>
      </c>
      <c r="AO124" s="98"/>
      <c r="AP124" s="98">
        <f t="shared" si="46"/>
        <v>0</v>
      </c>
      <c r="AQ124" s="214">
        <f t="shared" si="66"/>
        <v>0</v>
      </c>
      <c r="AR124" s="98"/>
      <c r="AS124" s="98">
        <f t="shared" si="47"/>
        <v>0</v>
      </c>
      <c r="AT124" s="214">
        <f t="shared" si="67"/>
        <v>0</v>
      </c>
      <c r="AU124" s="98"/>
      <c r="AV124" s="215">
        <f t="shared" si="48"/>
        <v>0</v>
      </c>
      <c r="AW124" s="214">
        <f t="shared" si="68"/>
        <v>0</v>
      </c>
      <c r="AX124" s="98">
        <f t="shared" si="69"/>
        <v>0</v>
      </c>
      <c r="AY124" s="204">
        <f t="shared" si="49"/>
        <v>0</v>
      </c>
      <c r="AZ124" s="214">
        <f t="shared" si="71"/>
        <v>100</v>
      </c>
      <c r="BA124" s="98">
        <f t="shared" si="70"/>
        <v>2</v>
      </c>
      <c r="BB124" s="204">
        <f t="shared" si="50"/>
        <v>53.46</v>
      </c>
    </row>
    <row r="125" spans="1:54" s="3" customFormat="1" ht="28.5" x14ac:dyDescent="0.2">
      <c r="A125" s="324" t="s">
        <v>1128</v>
      </c>
      <c r="B125" s="87" t="s">
        <v>1055</v>
      </c>
      <c r="C125" s="87" t="s">
        <v>104</v>
      </c>
      <c r="D125" s="92" t="s">
        <v>910</v>
      </c>
      <c r="E125" s="28" t="s">
        <v>904</v>
      </c>
      <c r="F125" s="357">
        <f>1.25*204.19</f>
        <v>255.23750000000001</v>
      </c>
      <c r="G125" s="17">
        <v>1</v>
      </c>
      <c r="H125" s="66">
        <f t="shared" si="53"/>
        <v>1</v>
      </c>
      <c r="I125" s="37">
        <f t="shared" si="51"/>
        <v>0</v>
      </c>
      <c r="J125" s="37">
        <f t="shared" si="52"/>
        <v>321.11</v>
      </c>
      <c r="K125" s="38">
        <f t="shared" si="54"/>
        <v>321.11</v>
      </c>
      <c r="L125" s="244">
        <f t="shared" si="55"/>
        <v>0</v>
      </c>
      <c r="M125" s="213">
        <f t="shared" si="56"/>
        <v>0</v>
      </c>
      <c r="N125" s="98"/>
      <c r="O125" s="98">
        <f t="shared" si="37"/>
        <v>0</v>
      </c>
      <c r="P125" s="214">
        <f t="shared" si="57"/>
        <v>0</v>
      </c>
      <c r="Q125" s="98"/>
      <c r="R125" s="98">
        <f t="shared" si="38"/>
        <v>0</v>
      </c>
      <c r="S125" s="214">
        <f t="shared" si="58"/>
        <v>0</v>
      </c>
      <c r="T125" s="98"/>
      <c r="U125" s="98">
        <f t="shared" si="39"/>
        <v>0</v>
      </c>
      <c r="V125" s="214">
        <f t="shared" si="59"/>
        <v>0</v>
      </c>
      <c r="W125" s="98"/>
      <c r="X125" s="98">
        <f t="shared" si="40"/>
        <v>0</v>
      </c>
      <c r="Y125" s="214">
        <f t="shared" si="60"/>
        <v>0</v>
      </c>
      <c r="Z125" s="98"/>
      <c r="AA125" s="98">
        <f t="shared" si="41"/>
        <v>0</v>
      </c>
      <c r="AB125" s="214">
        <f t="shared" si="61"/>
        <v>0</v>
      </c>
      <c r="AC125" s="98"/>
      <c r="AD125" s="98">
        <f t="shared" si="42"/>
        <v>0</v>
      </c>
      <c r="AE125" s="214">
        <f t="shared" si="62"/>
        <v>0</v>
      </c>
      <c r="AF125" s="98"/>
      <c r="AG125" s="98">
        <f t="shared" si="43"/>
        <v>0</v>
      </c>
      <c r="AH125" s="214">
        <f t="shared" si="63"/>
        <v>0</v>
      </c>
      <c r="AI125" s="98"/>
      <c r="AJ125" s="98">
        <f t="shared" si="44"/>
        <v>0</v>
      </c>
      <c r="AK125" s="214">
        <f t="shared" si="64"/>
        <v>0</v>
      </c>
      <c r="AL125" s="98"/>
      <c r="AM125" s="98">
        <f t="shared" si="45"/>
        <v>0</v>
      </c>
      <c r="AN125" s="214">
        <f t="shared" si="65"/>
        <v>0</v>
      </c>
      <c r="AO125" s="98"/>
      <c r="AP125" s="98">
        <f t="shared" si="46"/>
        <v>0</v>
      </c>
      <c r="AQ125" s="214">
        <f t="shared" si="66"/>
        <v>0</v>
      </c>
      <c r="AR125" s="98"/>
      <c r="AS125" s="98">
        <f t="shared" si="47"/>
        <v>0</v>
      </c>
      <c r="AT125" s="214">
        <f t="shared" si="67"/>
        <v>0</v>
      </c>
      <c r="AU125" s="98"/>
      <c r="AV125" s="215">
        <f t="shared" si="48"/>
        <v>0</v>
      </c>
      <c r="AW125" s="214">
        <f t="shared" si="68"/>
        <v>0</v>
      </c>
      <c r="AX125" s="98">
        <f t="shared" si="69"/>
        <v>0</v>
      </c>
      <c r="AY125" s="204">
        <f t="shared" si="49"/>
        <v>0</v>
      </c>
      <c r="AZ125" s="214">
        <f t="shared" si="71"/>
        <v>100</v>
      </c>
      <c r="BA125" s="98">
        <f t="shared" si="70"/>
        <v>1</v>
      </c>
      <c r="BB125" s="204">
        <f t="shared" si="50"/>
        <v>321.11</v>
      </c>
    </row>
    <row r="126" spans="1:54" s="3" customFormat="1" x14ac:dyDescent="0.2">
      <c r="A126" s="324"/>
      <c r="B126" s="102"/>
      <c r="C126" s="102"/>
      <c r="D126" s="102"/>
      <c r="E126" s="329"/>
      <c r="F126" s="87"/>
      <c r="G126" s="759" t="s">
        <v>125</v>
      </c>
      <c r="H126" s="759"/>
      <c r="I126" s="759"/>
      <c r="J126" s="759"/>
      <c r="K126" s="319">
        <f>SUM(K83:K125)</f>
        <v>28978.029999999992</v>
      </c>
      <c r="L126" s="319">
        <f>SUM(L83:L125)</f>
        <v>0</v>
      </c>
      <c r="M126" s="760" t="s">
        <v>125</v>
      </c>
      <c r="N126" s="759"/>
      <c r="O126" s="319">
        <f>SUM(O94:O125)</f>
        <v>0</v>
      </c>
      <c r="P126" s="759" t="s">
        <v>125</v>
      </c>
      <c r="Q126" s="759"/>
      <c r="R126" s="319">
        <f>SUM(R94:R125)</f>
        <v>0</v>
      </c>
      <c r="S126" s="759" t="s">
        <v>125</v>
      </c>
      <c r="T126" s="759"/>
      <c r="U126" s="319">
        <f>SUM(U94:U125)</f>
        <v>0</v>
      </c>
      <c r="V126" s="759" t="s">
        <v>125</v>
      </c>
      <c r="W126" s="759"/>
      <c r="X126" s="319">
        <f>SUM(X94:X125)</f>
        <v>0</v>
      </c>
      <c r="Y126" s="759" t="s">
        <v>125</v>
      </c>
      <c r="Z126" s="759"/>
      <c r="AA126" s="319">
        <f>SUM(AA94:AA125)</f>
        <v>0</v>
      </c>
      <c r="AB126" s="759" t="s">
        <v>125</v>
      </c>
      <c r="AC126" s="759"/>
      <c r="AD126" s="319">
        <f>SUM(AD94:AD125)</f>
        <v>0</v>
      </c>
      <c r="AE126" s="759" t="s">
        <v>125</v>
      </c>
      <c r="AF126" s="759"/>
      <c r="AG126" s="319">
        <f>SUM(AG94:AG125)</f>
        <v>0</v>
      </c>
      <c r="AH126" s="759" t="s">
        <v>125</v>
      </c>
      <c r="AI126" s="759"/>
      <c r="AJ126" s="319">
        <f>SUM(AJ94:AJ125)</f>
        <v>0</v>
      </c>
      <c r="AK126" s="759" t="s">
        <v>125</v>
      </c>
      <c r="AL126" s="759"/>
      <c r="AM126" s="319">
        <f>SUM(AM94:AM125)</f>
        <v>0</v>
      </c>
      <c r="AN126" s="759" t="s">
        <v>125</v>
      </c>
      <c r="AO126" s="759"/>
      <c r="AP126" s="319">
        <f>SUM(AP94:AP125)</f>
        <v>0</v>
      </c>
      <c r="AQ126" s="759" t="s">
        <v>125</v>
      </c>
      <c r="AR126" s="759"/>
      <c r="AS126" s="319">
        <f>SUM(AS94:AS125)</f>
        <v>0</v>
      </c>
      <c r="AT126" s="759" t="s">
        <v>125</v>
      </c>
      <c r="AU126" s="759"/>
      <c r="AV126" s="319">
        <f>SUM(AV94:AV125)</f>
        <v>0</v>
      </c>
      <c r="AW126" s="759" t="s">
        <v>125</v>
      </c>
      <c r="AX126" s="759"/>
      <c r="AY126" s="319">
        <f>SUM(AY94:AY125)</f>
        <v>0</v>
      </c>
      <c r="AZ126" s="759" t="s">
        <v>125</v>
      </c>
      <c r="BA126" s="759"/>
      <c r="BB126" s="319">
        <f>SUM(BB83:BB125)</f>
        <v>28978.029999999992</v>
      </c>
    </row>
    <row r="127" spans="1:54" s="3" customFormat="1" ht="16.5" thickBot="1" x14ac:dyDescent="0.3">
      <c r="A127" s="330"/>
      <c r="B127" s="60"/>
      <c r="C127" s="60"/>
      <c r="D127" s="331" t="str">
        <f>RESUMO!A22</f>
        <v>CUIABÁ - MT, 04 DE NOVEMBRO DE 2022</v>
      </c>
      <c r="E127" s="61"/>
      <c r="F127" s="61"/>
      <c r="G127" s="756" t="s">
        <v>480</v>
      </c>
      <c r="H127" s="756"/>
      <c r="I127" s="756"/>
      <c r="J127" s="756"/>
      <c r="K127" s="365">
        <f>SUM(K12:K126)/2</f>
        <v>149381.64000000001</v>
      </c>
      <c r="L127" s="245">
        <f>SUM(L12:L126)/2</f>
        <v>0</v>
      </c>
      <c r="M127" s="757" t="s">
        <v>480</v>
      </c>
      <c r="N127" s="758"/>
      <c r="O127" s="320">
        <f>SUM(O12:O126)/2</f>
        <v>0</v>
      </c>
      <c r="P127" s="758" t="s">
        <v>480</v>
      </c>
      <c r="Q127" s="758"/>
      <c r="R127" s="320">
        <f>SUM(R12:R126)/2</f>
        <v>0</v>
      </c>
      <c r="S127" s="758" t="s">
        <v>480</v>
      </c>
      <c r="T127" s="758"/>
      <c r="U127" s="320">
        <f>SUM(U12:U126)/2</f>
        <v>0</v>
      </c>
      <c r="V127" s="758" t="s">
        <v>480</v>
      </c>
      <c r="W127" s="758"/>
      <c r="X127" s="320">
        <f>SUM(X12:X126)/2</f>
        <v>0</v>
      </c>
      <c r="Y127" s="758" t="s">
        <v>480</v>
      </c>
      <c r="Z127" s="758"/>
      <c r="AA127" s="320">
        <f>SUM(AA12:AA126)/2</f>
        <v>0</v>
      </c>
      <c r="AB127" s="758" t="s">
        <v>480</v>
      </c>
      <c r="AC127" s="758"/>
      <c r="AD127" s="320">
        <f>SUM(AD12:AD126)/2</f>
        <v>0</v>
      </c>
      <c r="AE127" s="758" t="s">
        <v>480</v>
      </c>
      <c r="AF127" s="758"/>
      <c r="AG127" s="320">
        <f>SUM(AG12:AG126)/2</f>
        <v>0</v>
      </c>
      <c r="AH127" s="758" t="s">
        <v>480</v>
      </c>
      <c r="AI127" s="758"/>
      <c r="AJ127" s="320">
        <f>SUM(AJ12:AJ126)/2</f>
        <v>0</v>
      </c>
      <c r="AK127" s="758" t="s">
        <v>480</v>
      </c>
      <c r="AL127" s="758"/>
      <c r="AM127" s="320">
        <f>SUM(AM12:AM126)/2</f>
        <v>0</v>
      </c>
      <c r="AN127" s="758" t="s">
        <v>480</v>
      </c>
      <c r="AO127" s="758"/>
      <c r="AP127" s="320">
        <f>SUM(AP12:AP126)/2</f>
        <v>0</v>
      </c>
      <c r="AQ127" s="758" t="s">
        <v>480</v>
      </c>
      <c r="AR127" s="758"/>
      <c r="AS127" s="320">
        <f>SUM(AS12:AS126)/2</f>
        <v>0</v>
      </c>
      <c r="AT127" s="758" t="s">
        <v>480</v>
      </c>
      <c r="AU127" s="758"/>
      <c r="AV127" s="320">
        <f>SUM(AV12:AV126)/2</f>
        <v>0</v>
      </c>
      <c r="AW127" s="758" t="s">
        <v>480</v>
      </c>
      <c r="AX127" s="758"/>
      <c r="AY127" s="320">
        <f>SUM(AY12:AY126)/2</f>
        <v>0</v>
      </c>
      <c r="AZ127" s="758" t="s">
        <v>480</v>
      </c>
      <c r="BA127" s="758"/>
      <c r="BB127" s="320">
        <f>SUM(BB12:BB126)/2</f>
        <v>149381.64000000001</v>
      </c>
    </row>
    <row r="128" spans="1:54" x14ac:dyDescent="0.2">
      <c r="I128" s="22"/>
    </row>
    <row r="129" spans="9:9" x14ac:dyDescent="0.2">
      <c r="I129" s="22"/>
    </row>
    <row r="130" spans="9:9" x14ac:dyDescent="0.2">
      <c r="I130" s="22"/>
    </row>
    <row r="131" spans="9:9" x14ac:dyDescent="0.2">
      <c r="I131" s="22"/>
    </row>
    <row r="132" spans="9:9" x14ac:dyDescent="0.2">
      <c r="I132" s="22"/>
    </row>
    <row r="133" spans="9:9" x14ac:dyDescent="0.2">
      <c r="I133" s="22"/>
    </row>
    <row r="134" spans="9:9" x14ac:dyDescent="0.2">
      <c r="I134" s="22"/>
    </row>
    <row r="135" spans="9:9" x14ac:dyDescent="0.2">
      <c r="I135" s="22"/>
    </row>
    <row r="136" spans="9:9" x14ac:dyDescent="0.2">
      <c r="I136" s="22"/>
    </row>
    <row r="137" spans="9:9" x14ac:dyDescent="0.2">
      <c r="I137" s="22"/>
    </row>
    <row r="138" spans="9:9" x14ac:dyDescent="0.2">
      <c r="I138" s="22"/>
    </row>
    <row r="139" spans="9:9" x14ac:dyDescent="0.2">
      <c r="I139" s="22"/>
    </row>
    <row r="140" spans="9:9" x14ac:dyDescent="0.2">
      <c r="I140" s="22"/>
    </row>
    <row r="141" spans="9:9" x14ac:dyDescent="0.2">
      <c r="I141" s="22"/>
    </row>
    <row r="142" spans="9:9" x14ac:dyDescent="0.2">
      <c r="I142" s="22"/>
    </row>
    <row r="143" spans="9:9" x14ac:dyDescent="0.2">
      <c r="I143" s="22"/>
    </row>
    <row r="144" spans="9:9" x14ac:dyDescent="0.2">
      <c r="I144" s="22"/>
    </row>
    <row r="145" spans="9:9" x14ac:dyDescent="0.2">
      <c r="I145" s="22"/>
    </row>
    <row r="146" spans="9:9" x14ac:dyDescent="0.2">
      <c r="I146" s="22"/>
    </row>
    <row r="147" spans="9:9" x14ac:dyDescent="0.2">
      <c r="I147" s="22"/>
    </row>
    <row r="148" spans="9:9" x14ac:dyDescent="0.2">
      <c r="I148" s="22"/>
    </row>
    <row r="149" spans="9:9" x14ac:dyDescent="0.2">
      <c r="I149" s="22"/>
    </row>
    <row r="150" spans="9:9" x14ac:dyDescent="0.2">
      <c r="I150" s="22"/>
    </row>
    <row r="151" spans="9:9" x14ac:dyDescent="0.2">
      <c r="I151" s="22"/>
    </row>
    <row r="152" spans="9:9" x14ac:dyDescent="0.2">
      <c r="I152" s="22"/>
    </row>
    <row r="153" spans="9:9" x14ac:dyDescent="0.2">
      <c r="I153" s="22"/>
    </row>
    <row r="154" spans="9:9" x14ac:dyDescent="0.2">
      <c r="I154" s="22"/>
    </row>
    <row r="155" spans="9:9" x14ac:dyDescent="0.2">
      <c r="I155" s="22"/>
    </row>
    <row r="156" spans="9:9" x14ac:dyDescent="0.2">
      <c r="I156" s="22"/>
    </row>
    <row r="157" spans="9:9" x14ac:dyDescent="0.2">
      <c r="I157" s="22"/>
    </row>
    <row r="158" spans="9:9" x14ac:dyDescent="0.2">
      <c r="I158" s="22"/>
    </row>
    <row r="159" spans="9:9" x14ac:dyDescent="0.2">
      <c r="I159" s="22"/>
    </row>
    <row r="160" spans="9:9" x14ac:dyDescent="0.2">
      <c r="I160" s="22"/>
    </row>
    <row r="161" spans="9:9" x14ac:dyDescent="0.2">
      <c r="I161" s="22"/>
    </row>
    <row r="162" spans="9:9" x14ac:dyDescent="0.2">
      <c r="I162" s="22"/>
    </row>
    <row r="163" spans="9:9" x14ac:dyDescent="0.2">
      <c r="I163" s="22"/>
    </row>
    <row r="164" spans="9:9" x14ac:dyDescent="0.2">
      <c r="I164" s="22"/>
    </row>
    <row r="165" spans="9:9" x14ac:dyDescent="0.2">
      <c r="I165" s="22"/>
    </row>
    <row r="166" spans="9:9" x14ac:dyDescent="0.2">
      <c r="I166" s="22"/>
    </row>
    <row r="167" spans="9:9" x14ac:dyDescent="0.2">
      <c r="I167" s="22"/>
    </row>
    <row r="168" spans="9:9" x14ac:dyDescent="0.2">
      <c r="I168" s="22"/>
    </row>
    <row r="169" spans="9:9" x14ac:dyDescent="0.2">
      <c r="I169" s="22"/>
    </row>
    <row r="170" spans="9:9" x14ac:dyDescent="0.2">
      <c r="I170" s="22"/>
    </row>
    <row r="171" spans="9:9" x14ac:dyDescent="0.2">
      <c r="I171" s="22"/>
    </row>
    <row r="172" spans="9:9" x14ac:dyDescent="0.2">
      <c r="I172" s="22"/>
    </row>
    <row r="173" spans="9:9" x14ac:dyDescent="0.2">
      <c r="I173" s="22"/>
    </row>
    <row r="174" spans="9:9" x14ac:dyDescent="0.2">
      <c r="I174" s="22"/>
    </row>
    <row r="175" spans="9:9" x14ac:dyDescent="0.2">
      <c r="I175" s="22"/>
    </row>
    <row r="176" spans="9:9" x14ac:dyDescent="0.2">
      <c r="I176" s="22"/>
    </row>
    <row r="177" spans="9:9" x14ac:dyDescent="0.2">
      <c r="I177" s="22"/>
    </row>
    <row r="178" spans="9:9" x14ac:dyDescent="0.2">
      <c r="I178" s="22"/>
    </row>
    <row r="179" spans="9:9" x14ac:dyDescent="0.2">
      <c r="I179" s="22"/>
    </row>
    <row r="180" spans="9:9" x14ac:dyDescent="0.2">
      <c r="I180" s="22"/>
    </row>
    <row r="181" spans="9:9" x14ac:dyDescent="0.2">
      <c r="I181" s="22"/>
    </row>
    <row r="182" spans="9:9" x14ac:dyDescent="0.2">
      <c r="I182" s="22"/>
    </row>
    <row r="183" spans="9:9" x14ac:dyDescent="0.2">
      <c r="I183" s="22"/>
    </row>
    <row r="184" spans="9:9" x14ac:dyDescent="0.2">
      <c r="I184" s="22"/>
    </row>
    <row r="185" spans="9:9" x14ac:dyDescent="0.2">
      <c r="I185" s="22"/>
    </row>
    <row r="186" spans="9:9" x14ac:dyDescent="0.2">
      <c r="I186" s="22"/>
    </row>
    <row r="187" spans="9:9" x14ac:dyDescent="0.2">
      <c r="I187" s="22"/>
    </row>
    <row r="188" spans="9:9" x14ac:dyDescent="0.2">
      <c r="I188" s="22"/>
    </row>
    <row r="189" spans="9:9" x14ac:dyDescent="0.2">
      <c r="I189" s="22"/>
    </row>
    <row r="190" spans="9:9" x14ac:dyDescent="0.2">
      <c r="I190" s="22"/>
    </row>
    <row r="191" spans="9:9" x14ac:dyDescent="0.2">
      <c r="I191" s="22"/>
    </row>
    <row r="192" spans="9:9" x14ac:dyDescent="0.2">
      <c r="I192" s="22"/>
    </row>
    <row r="193" spans="9:9" x14ac:dyDescent="0.2">
      <c r="I193" s="22"/>
    </row>
    <row r="194" spans="9:9" x14ac:dyDescent="0.2">
      <c r="I194" s="22"/>
    </row>
    <row r="195" spans="9:9" x14ac:dyDescent="0.2">
      <c r="I195" s="22"/>
    </row>
    <row r="196" spans="9:9" x14ac:dyDescent="0.2">
      <c r="I196" s="22"/>
    </row>
    <row r="197" spans="9:9" x14ac:dyDescent="0.2">
      <c r="I197" s="22"/>
    </row>
    <row r="198" spans="9:9" x14ac:dyDescent="0.2">
      <c r="I198" s="22"/>
    </row>
    <row r="199" spans="9:9" x14ac:dyDescent="0.2">
      <c r="I199" s="22"/>
    </row>
    <row r="200" spans="9:9" x14ac:dyDescent="0.2">
      <c r="I200" s="22"/>
    </row>
    <row r="201" spans="9:9" x14ac:dyDescent="0.2">
      <c r="I201" s="22"/>
    </row>
  </sheetData>
  <mergeCells count="97">
    <mergeCell ref="A9:A11"/>
    <mergeCell ref="B9:B11"/>
    <mergeCell ref="C9:C11"/>
    <mergeCell ref="D9:D11"/>
    <mergeCell ref="Y9:AA9"/>
    <mergeCell ref="M9:O9"/>
    <mergeCell ref="P9:R9"/>
    <mergeCell ref="E9:E11"/>
    <mergeCell ref="G9:I10"/>
    <mergeCell ref="J9:K10"/>
    <mergeCell ref="T10:T11"/>
    <mergeCell ref="W10:W11"/>
    <mergeCell ref="V10:V11"/>
    <mergeCell ref="Z10:Z11"/>
    <mergeCell ref="E4:G4"/>
    <mergeCell ref="E5:K7"/>
    <mergeCell ref="G8:H8"/>
    <mergeCell ref="Y10:Y11"/>
    <mergeCell ref="S9:U9"/>
    <mergeCell ref="V9:X9"/>
    <mergeCell ref="M10:M11"/>
    <mergeCell ref="P10:P11"/>
    <mergeCell ref="S10:S11"/>
    <mergeCell ref="N10:N11"/>
    <mergeCell ref="Q10:Q11"/>
    <mergeCell ref="AB10:AB11"/>
    <mergeCell ref="AB9:AD9"/>
    <mergeCell ref="AU10:AU11"/>
    <mergeCell ref="AX10:AX11"/>
    <mergeCell ref="AH9:AJ9"/>
    <mergeCell ref="AK9:AM9"/>
    <mergeCell ref="AN9:AP9"/>
    <mergeCell ref="AQ9:AS9"/>
    <mergeCell ref="AH10:AH11"/>
    <mergeCell ref="AQ10:AQ11"/>
    <mergeCell ref="AL10:AL11"/>
    <mergeCell ref="AK10:AK11"/>
    <mergeCell ref="AT10:AT11"/>
    <mergeCell ref="AC10:AC11"/>
    <mergeCell ref="AZ9:BB9"/>
    <mergeCell ref="AE9:AG9"/>
    <mergeCell ref="BA10:BA11"/>
    <mergeCell ref="AT9:AV9"/>
    <mergeCell ref="AR10:AR11"/>
    <mergeCell ref="AW9:AY9"/>
    <mergeCell ref="AF10:AF11"/>
    <mergeCell ref="AI10:AI11"/>
    <mergeCell ref="AE10:AE11"/>
    <mergeCell ref="AZ10:AZ11"/>
    <mergeCell ref="AW10:AW11"/>
    <mergeCell ref="AO10:AO11"/>
    <mergeCell ref="AN10:AN11"/>
    <mergeCell ref="AK81:AL81"/>
    <mergeCell ref="V126:W126"/>
    <mergeCell ref="AZ126:BA126"/>
    <mergeCell ref="AT126:AU126"/>
    <mergeCell ref="AN81:AO81"/>
    <mergeCell ref="AQ81:AR81"/>
    <mergeCell ref="AT81:AU81"/>
    <mergeCell ref="AW81:AX81"/>
    <mergeCell ref="AZ81:BA81"/>
    <mergeCell ref="V81:W81"/>
    <mergeCell ref="Y81:Z81"/>
    <mergeCell ref="AB81:AC81"/>
    <mergeCell ref="AE81:AF81"/>
    <mergeCell ref="AH81:AI81"/>
    <mergeCell ref="Y126:Z126"/>
    <mergeCell ref="AB126:AC126"/>
    <mergeCell ref="G81:J81"/>
    <mergeCell ref="M81:N81"/>
    <mergeCell ref="P81:Q81"/>
    <mergeCell ref="S81:T81"/>
    <mergeCell ref="G126:J126"/>
    <mergeCell ref="M126:N126"/>
    <mergeCell ref="P126:Q126"/>
    <mergeCell ref="S126:T126"/>
    <mergeCell ref="AZ127:BA127"/>
    <mergeCell ref="AH127:AI127"/>
    <mergeCell ref="AK127:AL127"/>
    <mergeCell ref="AN127:AO127"/>
    <mergeCell ref="AQ127:AR127"/>
    <mergeCell ref="AE127:AF127"/>
    <mergeCell ref="AW126:AX126"/>
    <mergeCell ref="AN126:AO126"/>
    <mergeCell ref="AQ126:AR126"/>
    <mergeCell ref="AK126:AL126"/>
    <mergeCell ref="AH126:AI126"/>
    <mergeCell ref="AE126:AF126"/>
    <mergeCell ref="AT127:AU127"/>
    <mergeCell ref="AW127:AX127"/>
    <mergeCell ref="G127:J127"/>
    <mergeCell ref="M127:N127"/>
    <mergeCell ref="P127:Q127"/>
    <mergeCell ref="S127:T127"/>
    <mergeCell ref="AB127:AC127"/>
    <mergeCell ref="V127:W127"/>
    <mergeCell ref="Y127:Z127"/>
  </mergeCells>
  <phoneticPr fontId="14" type="noConversion"/>
  <conditionalFormatting sqref="AW12 AW82">
    <cfRule type="cellIs" dxfId="1" priority="1" stopIfTrue="1" operator="greaterThanOrEqual">
      <formula>0.8</formula>
    </cfRule>
  </conditionalFormatting>
  <printOptions horizontalCentered="1"/>
  <pageMargins left="0.19685039370078741" right="0.19685039370078741" top="0.59055118110236227" bottom="0.78740157480314965" header="0.39370078740157483" footer="0.39370078740157483"/>
  <pageSetup paperSize="9" scale="75" orientation="landscape" r:id="rId1"/>
  <headerFooter alignWithMargins="0">
    <oddHeader>Página &amp;P de &amp;N</oddHeader>
    <oddFooter>&amp;C&amp;F</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2:AC21"/>
  <sheetViews>
    <sheetView view="pageBreakPreview" topLeftCell="A2" zoomScale="75" zoomScaleNormal="75" workbookViewId="0">
      <selection activeCell="K26" sqref="A23:K26"/>
    </sheetView>
  </sheetViews>
  <sheetFormatPr defaultRowHeight="12.75" x14ac:dyDescent="0.2"/>
  <cols>
    <col min="1" max="1" width="6.5703125" customWidth="1"/>
    <col min="2" max="2" width="27.28515625" customWidth="1"/>
    <col min="3" max="3" width="13.140625" customWidth="1"/>
    <col min="4" max="4" width="8.85546875" customWidth="1"/>
    <col min="5" max="5" width="10.85546875" customWidth="1"/>
    <col min="6" max="6" width="6.85546875" customWidth="1"/>
    <col min="7" max="7" width="10.85546875" customWidth="1"/>
    <col min="8" max="8" width="6.85546875" customWidth="1"/>
    <col min="9" max="9" width="12.42578125" customWidth="1"/>
    <col min="10" max="10" width="6.85546875" customWidth="1"/>
    <col min="11" max="11" width="12.42578125" customWidth="1"/>
    <col min="12" max="12" width="6.85546875" customWidth="1"/>
    <col min="13" max="13" width="12.42578125" customWidth="1"/>
    <col min="14" max="14" width="6.85546875" customWidth="1"/>
    <col min="15" max="15" width="12.42578125" customWidth="1"/>
    <col min="16" max="16" width="8.85546875" customWidth="1"/>
    <col min="17" max="17" width="12.42578125" customWidth="1"/>
    <col min="18" max="18" width="8.5703125" customWidth="1"/>
    <col min="19" max="19" width="12.42578125" customWidth="1"/>
    <col min="20" max="20" width="8.140625" customWidth="1"/>
    <col min="21" max="21" width="11.7109375" bestFit="1" customWidth="1"/>
    <col min="22" max="22" width="7.85546875" customWidth="1"/>
    <col min="23" max="23" width="11.7109375" bestFit="1" customWidth="1"/>
    <col min="24" max="24" width="8.28515625" customWidth="1"/>
    <col min="25" max="25" width="12.42578125" customWidth="1"/>
    <col min="26" max="26" width="7.85546875" customWidth="1"/>
    <col min="27" max="27" width="12.28515625" customWidth="1"/>
    <col min="28" max="28" width="7.85546875" customWidth="1"/>
  </cols>
  <sheetData>
    <row r="2" spans="1:29" ht="23.25" x14ac:dyDescent="0.2">
      <c r="A2" s="136"/>
      <c r="C2" s="137" t="s">
        <v>56</v>
      </c>
    </row>
    <row r="3" spans="1:29" ht="23.25" x14ac:dyDescent="0.2">
      <c r="A3" s="136"/>
      <c r="C3" s="137" t="s">
        <v>481</v>
      </c>
    </row>
    <row r="4" spans="1:29" ht="23.25" x14ac:dyDescent="0.25">
      <c r="A4" s="136"/>
      <c r="C4" s="4" t="s">
        <v>2</v>
      </c>
    </row>
    <row r="5" spans="1:29" ht="23.25" x14ac:dyDescent="0.2">
      <c r="A5" s="136" t="s">
        <v>482</v>
      </c>
      <c r="B5" s="136"/>
      <c r="C5" s="136"/>
      <c r="D5" s="136"/>
      <c r="E5" s="136"/>
      <c r="F5" s="136"/>
      <c r="G5" s="136"/>
      <c r="H5" s="136"/>
    </row>
    <row r="6" spans="1:29" ht="18" x14ac:dyDescent="0.25">
      <c r="A6" s="1" t="e">
        <f>RESUMO!#REF!</f>
        <v>#REF!</v>
      </c>
      <c r="B6" s="138"/>
      <c r="C6" s="138"/>
      <c r="D6" s="138"/>
    </row>
    <row r="7" spans="1:29" ht="18" x14ac:dyDescent="0.25">
      <c r="A7" s="1" t="e">
        <f>RESUMO!#REF!</f>
        <v>#REF!</v>
      </c>
      <c r="B7" s="138"/>
      <c r="C7" s="138"/>
      <c r="D7" s="138"/>
      <c r="G7" s="139" t="s">
        <v>483</v>
      </c>
      <c r="H7" s="139">
        <f>'Cron Reforma'!H7</f>
        <v>365</v>
      </c>
      <c r="I7" s="139" t="s">
        <v>484</v>
      </c>
      <c r="W7" s="7"/>
    </row>
    <row r="8" spans="1:29" ht="18" x14ac:dyDescent="0.25">
      <c r="A8" s="1" t="str">
        <f>RESUMO!A7</f>
        <v xml:space="preserve">RESUMO DA PLANILHA ORÇAMENTARIA </v>
      </c>
      <c r="B8" s="139"/>
      <c r="C8" s="139"/>
      <c r="D8" s="140"/>
    </row>
    <row r="9" spans="1:29" ht="18" x14ac:dyDescent="0.25">
      <c r="A9" s="1" t="s">
        <v>43</v>
      </c>
      <c r="B9" s="139"/>
      <c r="C9" s="139"/>
      <c r="D9" s="140"/>
    </row>
    <row r="10" spans="1:29" ht="18" x14ac:dyDescent="0.25">
      <c r="A10" s="2" t="e">
        <f>Elétrica!E5</f>
        <v>#REF!</v>
      </c>
      <c r="B10" s="139"/>
      <c r="C10" s="139"/>
      <c r="D10" s="140"/>
    </row>
    <row r="11" spans="1:29" ht="15.75" x14ac:dyDescent="0.25">
      <c r="A11" s="5"/>
      <c r="B11" s="139"/>
      <c r="C11" s="139"/>
      <c r="D11" s="140"/>
    </row>
    <row r="12" spans="1:29" ht="13.5" customHeight="1" thickBot="1" x14ac:dyDescent="0.25">
      <c r="A12" s="665" t="s">
        <v>482</v>
      </c>
      <c r="B12" s="66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row>
    <row r="13" spans="1:29" ht="16.5" thickBot="1" x14ac:dyDescent="0.25">
      <c r="A13" s="680" t="s">
        <v>13</v>
      </c>
      <c r="B13" s="645" t="s">
        <v>485</v>
      </c>
      <c r="C13" s="649" t="s">
        <v>486</v>
      </c>
      <c r="D13" s="649"/>
      <c r="E13" s="671" t="s">
        <v>487</v>
      </c>
      <c r="F13" s="672"/>
      <c r="G13" s="672"/>
      <c r="H13" s="672"/>
      <c r="I13" s="672"/>
      <c r="J13" s="672"/>
      <c r="K13" s="672"/>
      <c r="L13" s="672"/>
      <c r="M13" s="672"/>
      <c r="N13" s="672"/>
      <c r="O13" s="672"/>
      <c r="P13" s="672"/>
      <c r="Q13" s="672"/>
      <c r="R13" s="672"/>
      <c r="S13" s="672"/>
      <c r="T13" s="672"/>
      <c r="U13" s="672"/>
      <c r="V13" s="672"/>
      <c r="W13" s="672"/>
      <c r="X13" s="672"/>
      <c r="Y13" s="672"/>
      <c r="Z13" s="672"/>
      <c r="AA13" s="672"/>
      <c r="AB13" s="673"/>
    </row>
    <row r="14" spans="1:29" ht="16.5" thickBot="1" x14ac:dyDescent="0.3">
      <c r="A14" s="681"/>
      <c r="B14" s="646"/>
      <c r="C14" s="649"/>
      <c r="D14" s="649"/>
      <c r="E14" s="770" t="s">
        <v>488</v>
      </c>
      <c r="F14" s="770"/>
      <c r="G14" s="770" t="s">
        <v>489</v>
      </c>
      <c r="H14" s="770"/>
      <c r="I14" s="770" t="s">
        <v>490</v>
      </c>
      <c r="J14" s="770"/>
      <c r="K14" s="770" t="s">
        <v>491</v>
      </c>
      <c r="L14" s="770"/>
      <c r="M14" s="770" t="s">
        <v>492</v>
      </c>
      <c r="N14" s="770"/>
      <c r="O14" s="770" t="s">
        <v>493</v>
      </c>
      <c r="P14" s="770"/>
      <c r="Q14" s="770" t="s">
        <v>494</v>
      </c>
      <c r="R14" s="770"/>
      <c r="S14" s="770" t="s">
        <v>495</v>
      </c>
      <c r="T14" s="770"/>
      <c r="U14" s="770" t="s">
        <v>496</v>
      </c>
      <c r="V14" s="770"/>
      <c r="W14" s="770" t="s">
        <v>497</v>
      </c>
      <c r="X14" s="770"/>
      <c r="Y14" s="770" t="s">
        <v>498</v>
      </c>
      <c r="Z14" s="770"/>
      <c r="AA14" s="770" t="s">
        <v>499</v>
      </c>
      <c r="AB14" s="770"/>
    </row>
    <row r="15" spans="1:29" ht="15.75" thickBot="1" x14ac:dyDescent="0.25">
      <c r="A15" s="682"/>
      <c r="B15" s="683"/>
      <c r="C15" s="12" t="s">
        <v>500</v>
      </c>
      <c r="D15" s="13" t="s">
        <v>16</v>
      </c>
      <c r="E15" s="12" t="s">
        <v>500</v>
      </c>
      <c r="F15" s="13" t="s">
        <v>16</v>
      </c>
      <c r="G15" s="14" t="s">
        <v>501</v>
      </c>
      <c r="H15" s="15" t="s">
        <v>16</v>
      </c>
      <c r="I15" s="14" t="s">
        <v>501</v>
      </c>
      <c r="J15" s="15" t="s">
        <v>16</v>
      </c>
      <c r="K15" s="14" t="s">
        <v>501</v>
      </c>
      <c r="L15" s="15" t="s">
        <v>16</v>
      </c>
      <c r="M15" s="14" t="s">
        <v>501</v>
      </c>
      <c r="N15" s="15" t="s">
        <v>16</v>
      </c>
      <c r="O15" s="14" t="s">
        <v>501</v>
      </c>
      <c r="P15" s="15" t="s">
        <v>16</v>
      </c>
      <c r="Q15" s="14" t="s">
        <v>501</v>
      </c>
      <c r="R15" s="15" t="s">
        <v>16</v>
      </c>
      <c r="S15" s="14" t="s">
        <v>501</v>
      </c>
      <c r="T15" s="15" t="s">
        <v>16</v>
      </c>
      <c r="U15" s="14" t="s">
        <v>501</v>
      </c>
      <c r="V15" s="15" t="s">
        <v>16</v>
      </c>
      <c r="W15" s="14" t="s">
        <v>501</v>
      </c>
      <c r="X15" s="15" t="s">
        <v>16</v>
      </c>
      <c r="Y15" s="14" t="s">
        <v>501</v>
      </c>
      <c r="Z15" s="15" t="s">
        <v>16</v>
      </c>
      <c r="AA15" s="14" t="s">
        <v>501</v>
      </c>
      <c r="AB15" s="15" t="s">
        <v>16</v>
      </c>
    </row>
    <row r="16" spans="1:29" ht="45" x14ac:dyDescent="0.2">
      <c r="A16" s="103" t="s">
        <v>53</v>
      </c>
      <c r="B16" s="105" t="str">
        <f>Elétrica!D12</f>
        <v>INSTALAÇÕES ELÉTRICAS - BAIXA TENSÃO</v>
      </c>
      <c r="C16" s="122">
        <f>Elétrica!K81</f>
        <v>120403.61000000003</v>
      </c>
      <c r="D16" s="106">
        <f>(C16/$C$19)</f>
        <v>0.80601344315138068</v>
      </c>
      <c r="E16" s="123">
        <f>C16*F16/100</f>
        <v>12040.361000000003</v>
      </c>
      <c r="F16" s="124">
        <v>10</v>
      </c>
      <c r="G16" s="123">
        <f>C16*H16/100</f>
        <v>12040.361000000003</v>
      </c>
      <c r="H16" s="125">
        <v>10</v>
      </c>
      <c r="I16" s="123">
        <f>C16*J16/100</f>
        <v>12040.361000000003</v>
      </c>
      <c r="J16" s="126">
        <v>10</v>
      </c>
      <c r="K16" s="127">
        <f>C16*L16/100</f>
        <v>12040.361000000003</v>
      </c>
      <c r="L16" s="125">
        <v>10</v>
      </c>
      <c r="M16" s="123">
        <f>C16*N16/100</f>
        <v>12040.361000000003</v>
      </c>
      <c r="N16" s="126">
        <v>10</v>
      </c>
      <c r="O16" s="127">
        <f>C16*P16/100</f>
        <v>12040.361000000003</v>
      </c>
      <c r="P16" s="125">
        <v>10</v>
      </c>
      <c r="Q16" s="123">
        <f>C16*R16/100</f>
        <v>24080.722000000005</v>
      </c>
      <c r="R16" s="126">
        <v>20</v>
      </c>
      <c r="S16" s="127">
        <f>C16*T16/100</f>
        <v>24080.722000000005</v>
      </c>
      <c r="T16" s="125">
        <v>20</v>
      </c>
      <c r="U16" s="123">
        <f>(C16*V16)/100</f>
        <v>0</v>
      </c>
      <c r="V16" s="126">
        <v>0</v>
      </c>
      <c r="W16" s="127">
        <f>(X16*C16)/100</f>
        <v>0</v>
      </c>
      <c r="X16" s="125">
        <v>0</v>
      </c>
      <c r="Y16" s="123">
        <f>(Z16*C16)/100</f>
        <v>0</v>
      </c>
      <c r="Z16" s="126">
        <v>0</v>
      </c>
      <c r="AA16" s="123">
        <f>(AB16*C16)/100</f>
        <v>0</v>
      </c>
      <c r="AB16" s="126">
        <v>0</v>
      </c>
      <c r="AC16" s="411">
        <f>F16+H16+J16+L16+N16+P16+R16+T16+V16+X16+Z16+AB16</f>
        <v>100</v>
      </c>
    </row>
    <row r="17" spans="1:29" ht="47.25" customHeight="1" x14ac:dyDescent="0.2">
      <c r="A17" s="128" t="s">
        <v>41</v>
      </c>
      <c r="B17" s="129" t="str">
        <f>Elétrica!D82</f>
        <v>POSTO DE TRANSFORMAÇÃO 112,5 kVA</v>
      </c>
      <c r="C17" s="112">
        <f>Elétrica!K126</f>
        <v>28978.029999999992</v>
      </c>
      <c r="D17" s="113">
        <f>(C17/$C$19)</f>
        <v>0.19398655684861935</v>
      </c>
      <c r="E17" s="130">
        <f>C17*F17/100</f>
        <v>0</v>
      </c>
      <c r="F17" s="131">
        <v>0</v>
      </c>
      <c r="G17" s="130">
        <f>C17*H17/100</f>
        <v>0</v>
      </c>
      <c r="H17" s="132">
        <v>0</v>
      </c>
      <c r="I17" s="130">
        <f>C17*J17/100</f>
        <v>0</v>
      </c>
      <c r="J17" s="133">
        <v>0</v>
      </c>
      <c r="K17" s="134">
        <f>C17*L17/100</f>
        <v>0</v>
      </c>
      <c r="L17" s="132">
        <v>0</v>
      </c>
      <c r="M17" s="130">
        <f>C17*N17/100</f>
        <v>0</v>
      </c>
      <c r="N17" s="133">
        <v>0</v>
      </c>
      <c r="O17" s="134">
        <f>C17*P17/100</f>
        <v>0</v>
      </c>
      <c r="P17" s="132">
        <v>0</v>
      </c>
      <c r="Q17" s="130">
        <f>C17*R17/100</f>
        <v>5795.6059999999989</v>
      </c>
      <c r="R17" s="133">
        <v>20</v>
      </c>
      <c r="S17" s="134">
        <f>C17*T17/100</f>
        <v>5795.6059999999989</v>
      </c>
      <c r="T17" s="132">
        <v>20</v>
      </c>
      <c r="U17" s="130">
        <f>(C17*V17)/100</f>
        <v>5795.6059999999989</v>
      </c>
      <c r="V17" s="133">
        <v>20</v>
      </c>
      <c r="W17" s="134">
        <f>(X17*C17)/100</f>
        <v>5795.6059999999989</v>
      </c>
      <c r="X17" s="132">
        <v>20</v>
      </c>
      <c r="Y17" s="130">
        <f>(Z17*C17)/100</f>
        <v>2897.8029999999994</v>
      </c>
      <c r="Z17" s="133">
        <v>10</v>
      </c>
      <c r="AA17" s="130">
        <f>(AB17*C17)/100</f>
        <v>2897.8029999999994</v>
      </c>
      <c r="AB17" s="133">
        <v>10</v>
      </c>
      <c r="AC17" s="411">
        <f>F17+H17+J17+L17+N17+P17+R17+T17+V17+X17+Z17+AB17</f>
        <v>100</v>
      </c>
    </row>
    <row r="18" spans="1:29" ht="15" customHeight="1" x14ac:dyDescent="0.25">
      <c r="A18" s="111"/>
      <c r="B18" s="119"/>
      <c r="C18" s="120"/>
      <c r="D18" s="121"/>
      <c r="E18" s="114"/>
      <c r="F18" s="115"/>
      <c r="G18" s="114"/>
      <c r="H18" s="116"/>
      <c r="I18" s="114"/>
      <c r="J18" s="117"/>
      <c r="K18" s="118"/>
      <c r="L18" s="116"/>
      <c r="M18" s="114"/>
      <c r="N18" s="117"/>
      <c r="O18" s="118"/>
      <c r="P18" s="116"/>
      <c r="Q18" s="114"/>
      <c r="R18" s="117"/>
      <c r="S18" s="118"/>
      <c r="T18" s="116"/>
      <c r="U18" s="114"/>
      <c r="V18" s="117"/>
      <c r="W18" s="118"/>
      <c r="X18" s="116"/>
      <c r="Y18" s="114"/>
      <c r="Z18" s="117"/>
      <c r="AA18" s="114"/>
      <c r="AB18" s="117"/>
      <c r="AC18" s="411"/>
    </row>
    <row r="19" spans="1:29" ht="15" x14ac:dyDescent="0.25">
      <c r="A19" s="675" t="s">
        <v>502</v>
      </c>
      <c r="B19" s="676"/>
      <c r="C19" s="24">
        <f>SUM(C16:C18)</f>
        <v>149381.64000000001</v>
      </c>
      <c r="D19" s="107">
        <f>SUM(D16:D18)</f>
        <v>1</v>
      </c>
      <c r="E19" s="110">
        <f>SUM(E16:E18)</f>
        <v>12040.361000000003</v>
      </c>
      <c r="F19" s="25">
        <f>E19/$C$19</f>
        <v>8.0601344315138074E-2</v>
      </c>
      <c r="G19" s="109">
        <f>SUM(G16:G18)</f>
        <v>12040.361000000003</v>
      </c>
      <c r="H19" s="25">
        <f>G19/$C$19</f>
        <v>8.0601344315138074E-2</v>
      </c>
      <c r="I19" s="110">
        <f>SUM(I16:I18)</f>
        <v>12040.361000000003</v>
      </c>
      <c r="J19" s="25">
        <f>I19/$C$19</f>
        <v>8.0601344315138074E-2</v>
      </c>
      <c r="K19" s="109">
        <f>SUM(K16:K18)</f>
        <v>12040.361000000003</v>
      </c>
      <c r="L19" s="25">
        <f>K19/$C$19</f>
        <v>8.0601344315138074E-2</v>
      </c>
      <c r="M19" s="110">
        <f>SUM(M16:M18)</f>
        <v>12040.361000000003</v>
      </c>
      <c r="N19" s="25">
        <f>M19/$C$19</f>
        <v>8.0601344315138074E-2</v>
      </c>
      <c r="O19" s="109">
        <f>SUM(O16:O18)</f>
        <v>12040.361000000003</v>
      </c>
      <c r="P19" s="25">
        <f>O19/$C$19</f>
        <v>8.0601344315138074E-2</v>
      </c>
      <c r="Q19" s="110">
        <f>SUM(Q16:Q18)</f>
        <v>29876.328000000005</v>
      </c>
      <c r="R19" s="25">
        <f>Q19/$C$19</f>
        <v>0.2</v>
      </c>
      <c r="S19" s="109">
        <f>SUM(S16:S18)</f>
        <v>29876.328000000005</v>
      </c>
      <c r="T19" s="25">
        <f>S19/$C$19</f>
        <v>0.2</v>
      </c>
      <c r="U19" s="110">
        <f>SUM(U16:U18)</f>
        <v>5795.6059999999989</v>
      </c>
      <c r="V19" s="25">
        <f>U19/$C$19</f>
        <v>3.8797311369723871E-2</v>
      </c>
      <c r="W19" s="109">
        <f>SUM(W16:W18)</f>
        <v>5795.6059999999989</v>
      </c>
      <c r="X19" s="25">
        <f>W19/$C$19</f>
        <v>3.8797311369723871E-2</v>
      </c>
      <c r="Y19" s="110">
        <f>SUM(Y16:Y18)</f>
        <v>2897.8029999999994</v>
      </c>
      <c r="Z19" s="25">
        <f>Y19/$C$19</f>
        <v>1.9398655684861935E-2</v>
      </c>
      <c r="AA19" s="109">
        <f>SUM(AA16:AA18)</f>
        <v>2897.8029999999994</v>
      </c>
      <c r="AB19" s="25">
        <f>AA19/$C$19</f>
        <v>1.9398655684861935E-2</v>
      </c>
    </row>
    <row r="20" spans="1:29" ht="15" x14ac:dyDescent="0.25">
      <c r="A20" s="675" t="s">
        <v>503</v>
      </c>
      <c r="B20" s="676"/>
      <c r="C20" s="17"/>
      <c r="D20" s="108"/>
      <c r="E20" s="110">
        <f>SUM(E19)</f>
        <v>12040.361000000003</v>
      </c>
      <c r="F20" s="25">
        <f>E20/C19</f>
        <v>8.0601344315138074E-2</v>
      </c>
      <c r="G20" s="109">
        <f t="shared" ref="G20:AB20" si="0">E20+G19</f>
        <v>24080.722000000005</v>
      </c>
      <c r="H20" s="108">
        <f t="shared" si="0"/>
        <v>0.16120268863027615</v>
      </c>
      <c r="I20" s="110">
        <f t="shared" si="0"/>
        <v>36121.083000000006</v>
      </c>
      <c r="J20" s="25">
        <f t="shared" si="0"/>
        <v>0.24180403294541422</v>
      </c>
      <c r="K20" s="109">
        <f t="shared" si="0"/>
        <v>48161.44400000001</v>
      </c>
      <c r="L20" s="108">
        <f t="shared" si="0"/>
        <v>0.32240537726055229</v>
      </c>
      <c r="M20" s="110">
        <f t="shared" si="0"/>
        <v>60201.805000000015</v>
      </c>
      <c r="N20" s="25">
        <f t="shared" si="0"/>
        <v>0.4030067215756904</v>
      </c>
      <c r="O20" s="109">
        <f t="shared" si="0"/>
        <v>72242.166000000012</v>
      </c>
      <c r="P20" s="108">
        <f t="shared" si="0"/>
        <v>0.4836080658908285</v>
      </c>
      <c r="Q20" s="110">
        <f t="shared" si="0"/>
        <v>102118.49400000002</v>
      </c>
      <c r="R20" s="25">
        <f t="shared" si="0"/>
        <v>0.68360806589082856</v>
      </c>
      <c r="S20" s="109">
        <f t="shared" si="0"/>
        <v>131994.82200000001</v>
      </c>
      <c r="T20" s="108">
        <f t="shared" si="0"/>
        <v>0.88360806589082852</v>
      </c>
      <c r="U20" s="110">
        <f t="shared" si="0"/>
        <v>137790.42800000001</v>
      </c>
      <c r="V20" s="25">
        <f t="shared" si="0"/>
        <v>0.92240537726055238</v>
      </c>
      <c r="W20" s="109">
        <f t="shared" si="0"/>
        <v>143586.03400000001</v>
      </c>
      <c r="X20" s="108">
        <f t="shared" si="0"/>
        <v>0.96120268863027625</v>
      </c>
      <c r="Y20" s="110">
        <f t="shared" si="0"/>
        <v>146483.837</v>
      </c>
      <c r="Z20" s="25">
        <f t="shared" si="0"/>
        <v>0.98060134431513823</v>
      </c>
      <c r="AA20" s="109">
        <f t="shared" si="0"/>
        <v>149381.63999999998</v>
      </c>
      <c r="AB20" s="25">
        <f t="shared" si="0"/>
        <v>1.0000000000000002</v>
      </c>
    </row>
    <row r="21" spans="1:29" ht="15.75" thickBot="1" x14ac:dyDescent="0.3">
      <c r="A21" s="677" t="str">
        <f>RESUMO!A22</f>
        <v>CUIABÁ - MT, 04 DE NOVEMBRO DE 2022</v>
      </c>
      <c r="B21" s="678"/>
      <c r="C21" s="678"/>
      <c r="D21" s="678"/>
      <c r="E21" s="678"/>
      <c r="F21" s="678"/>
      <c r="G21" s="678"/>
      <c r="H21" s="678"/>
      <c r="I21" s="678"/>
      <c r="J21" s="678"/>
      <c r="K21" s="678"/>
      <c r="L21" s="678"/>
      <c r="M21" s="678"/>
      <c r="N21" s="678"/>
      <c r="O21" s="678"/>
      <c r="P21" s="678"/>
      <c r="Q21" s="678"/>
      <c r="R21" s="678"/>
      <c r="S21" s="678"/>
      <c r="T21" s="678"/>
      <c r="U21" s="678"/>
      <c r="V21" s="678"/>
      <c r="W21" s="678"/>
      <c r="X21" s="678"/>
      <c r="Y21" s="678"/>
      <c r="Z21" s="678"/>
      <c r="AA21" s="678"/>
      <c r="AB21" s="679"/>
    </row>
  </sheetData>
  <mergeCells count="20">
    <mergeCell ref="A20:B20"/>
    <mergeCell ref="A21:AB21"/>
    <mergeCell ref="A19:B19"/>
    <mergeCell ref="U14:V14"/>
    <mergeCell ref="W14:X14"/>
    <mergeCell ref="Y14:Z14"/>
    <mergeCell ref="AA14:AB14"/>
    <mergeCell ref="A13:A15"/>
    <mergeCell ref="B13:B15"/>
    <mergeCell ref="C13:D14"/>
    <mergeCell ref="E13:AB13"/>
    <mergeCell ref="E14:F14"/>
    <mergeCell ref="G14:H14"/>
    <mergeCell ref="I14:J14"/>
    <mergeCell ref="K14:L14"/>
    <mergeCell ref="M14:N14"/>
    <mergeCell ref="O14:P14"/>
    <mergeCell ref="Q14:R14"/>
    <mergeCell ref="S14:T14"/>
    <mergeCell ref="A12:AB12"/>
  </mergeCells>
  <phoneticPr fontId="14" type="noConversion"/>
  <pageMargins left="0.19685039370078741" right="0.19685039370078741" top="0.98425196850393704" bottom="0.98425196850393704" header="0.51181102362204722" footer="0.51181102362204722"/>
  <pageSetup paperSize="9" scale="49" orientation="landscape" verticalDpi="300" r:id="rId1"/>
  <headerFooter alignWithMargins="0">
    <oddHeader>Página &amp;P de &amp;N</oddHeader>
    <oddFooter>&amp;C&amp;F</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496"/>
  <sheetViews>
    <sheetView view="pageBreakPreview" topLeftCell="A4" zoomScale="75" zoomScaleNormal="75" zoomScaleSheetLayoutView="75" workbookViewId="0">
      <selection activeCell="H1" sqref="H1:I65536"/>
    </sheetView>
  </sheetViews>
  <sheetFormatPr defaultColWidth="9.140625" defaultRowHeight="14.25" customHeight="1" x14ac:dyDescent="0.2"/>
  <cols>
    <col min="1" max="1" width="8.85546875" style="8" customWidth="1"/>
    <col min="2" max="3" width="19.42578125" style="11" customWidth="1"/>
    <col min="4" max="4" width="90.85546875" style="8" customWidth="1"/>
    <col min="5" max="5" width="6.5703125" style="8" customWidth="1"/>
    <col min="6" max="6" width="29.42578125" style="8" hidden="1" customWidth="1"/>
    <col min="7" max="7" width="15.7109375" style="8" customWidth="1"/>
    <col min="8" max="8" width="13.42578125" style="8" hidden="1" customWidth="1"/>
    <col min="9" max="9" width="10.5703125" style="8" hidden="1" customWidth="1"/>
    <col min="10" max="10" width="13.7109375" style="8" customWidth="1"/>
    <col min="11" max="11" width="16.7109375" style="8" customWidth="1"/>
    <col min="12" max="12" width="10.5703125" style="8" hidden="1" customWidth="1"/>
    <col min="13" max="13" width="10" style="62" customWidth="1"/>
    <col min="14" max="14" width="11" style="8" customWidth="1"/>
    <col min="15" max="15" width="14.85546875" style="62" customWidth="1"/>
    <col min="16" max="16" width="11.5703125" style="62" customWidth="1"/>
    <col min="17" max="17" width="11" style="8" customWidth="1"/>
    <col min="18" max="18" width="13.85546875" style="62" customWidth="1"/>
    <col min="19" max="19" width="11.5703125" style="62" customWidth="1"/>
    <col min="20" max="20" width="11" style="8" customWidth="1"/>
    <col min="21" max="21" width="13.85546875" style="62" customWidth="1"/>
    <col min="22" max="22" width="11.5703125" style="62" customWidth="1"/>
    <col min="23" max="23" width="11" style="8" customWidth="1"/>
    <col min="24" max="24" width="13.85546875" style="62" customWidth="1"/>
    <col min="25" max="25" width="11.5703125" style="62" customWidth="1"/>
    <col min="26" max="26" width="11" style="8" customWidth="1"/>
    <col min="27" max="27" width="13.85546875" style="62" customWidth="1"/>
    <col min="28" max="28" width="11.5703125" style="62" customWidth="1"/>
    <col min="29" max="29" width="11" style="8" customWidth="1"/>
    <col min="30" max="30" width="13.85546875" style="62" customWidth="1"/>
    <col min="31" max="31" width="11.5703125" style="62" customWidth="1"/>
    <col min="32" max="32" width="11" style="8" customWidth="1"/>
    <col min="33" max="33" width="13.85546875" style="62" customWidth="1"/>
    <col min="34" max="34" width="11.5703125" style="62" customWidth="1"/>
    <col min="35" max="35" width="11" style="8" customWidth="1"/>
    <col min="36" max="36" width="13.85546875" style="62" customWidth="1"/>
    <col min="37" max="37" width="11.5703125" style="62" customWidth="1"/>
    <col min="38" max="38" width="11" style="8" customWidth="1"/>
    <col min="39" max="39" width="13.85546875" style="62" customWidth="1"/>
    <col min="40" max="40" width="11.5703125" style="62" customWidth="1"/>
    <col min="41" max="41" width="11" style="8" customWidth="1"/>
    <col min="42" max="42" width="13.85546875" style="62" customWidth="1"/>
    <col min="43" max="43" width="11.5703125" style="62" customWidth="1"/>
    <col min="44" max="44" width="11" style="8" customWidth="1"/>
    <col min="45" max="45" width="13.85546875" style="62" customWidth="1"/>
    <col min="46" max="46" width="11.5703125" style="62" customWidth="1"/>
    <col min="47" max="47" width="11" style="8" customWidth="1"/>
    <col min="48" max="48" width="13.85546875" style="62" customWidth="1"/>
    <col min="49" max="49" width="8.7109375" style="62" customWidth="1"/>
    <col min="50" max="50" width="9.140625" style="62"/>
    <col min="51" max="51" width="13.85546875" style="62" customWidth="1"/>
    <col min="52" max="52" width="10" style="62" customWidth="1"/>
    <col min="53" max="53" width="11" style="62" customWidth="1"/>
    <col min="54" max="54" width="14.42578125" style="62" customWidth="1"/>
    <col min="55" max="16384" width="9.140625" style="8"/>
  </cols>
  <sheetData>
    <row r="1" spans="1:54" s="6" customFormat="1" ht="19.5" customHeight="1" x14ac:dyDescent="0.25">
      <c r="A1" s="5" t="s">
        <v>56</v>
      </c>
      <c r="B1" s="5"/>
      <c r="C1" s="5"/>
      <c r="D1" s="4"/>
      <c r="M1" s="62"/>
      <c r="O1" s="62"/>
      <c r="P1" s="62"/>
      <c r="R1" s="62"/>
      <c r="S1" s="62"/>
      <c r="U1" s="62"/>
      <c r="V1" s="62"/>
      <c r="X1" s="62"/>
      <c r="Y1" s="62"/>
      <c r="AA1" s="62"/>
      <c r="AB1" s="62"/>
      <c r="AD1" s="62"/>
      <c r="AE1" s="62"/>
      <c r="AG1" s="62"/>
      <c r="AH1" s="62"/>
      <c r="AJ1" s="62"/>
      <c r="AK1" s="62"/>
      <c r="AM1" s="62"/>
      <c r="AN1" s="62"/>
      <c r="AP1" s="62"/>
      <c r="AQ1" s="62"/>
      <c r="AS1" s="62"/>
      <c r="AT1" s="62"/>
      <c r="AV1" s="62"/>
      <c r="AW1" s="62"/>
      <c r="AX1" s="62"/>
      <c r="AY1" s="62"/>
      <c r="AZ1" s="62"/>
      <c r="BA1" s="62"/>
      <c r="BB1" s="62"/>
    </row>
    <row r="2" spans="1:54" ht="15.75" x14ac:dyDescent="0.25">
      <c r="A2" s="4" t="s">
        <v>1</v>
      </c>
      <c r="B2" s="4"/>
      <c r="C2" s="4"/>
      <c r="D2" s="4"/>
      <c r="E2" s="6"/>
      <c r="F2" s="6"/>
      <c r="G2" s="6"/>
      <c r="H2" s="6"/>
      <c r="I2" s="6"/>
      <c r="J2" s="6"/>
      <c r="K2" s="6"/>
      <c r="L2" s="6"/>
      <c r="N2" s="6"/>
      <c r="Q2" s="6"/>
      <c r="T2" s="6"/>
      <c r="W2" s="6"/>
      <c r="Z2" s="6"/>
      <c r="AC2" s="6"/>
      <c r="AF2" s="6"/>
      <c r="AI2" s="6"/>
      <c r="AL2" s="6"/>
      <c r="AO2" s="6"/>
      <c r="AR2" s="6"/>
      <c r="AU2" s="6"/>
    </row>
    <row r="3" spans="1:54" s="6" customFormat="1" ht="15.75" x14ac:dyDescent="0.25">
      <c r="A3" s="4" t="s">
        <v>2</v>
      </c>
      <c r="B3" s="4"/>
      <c r="C3" s="4"/>
      <c r="D3" s="4"/>
      <c r="M3" s="62"/>
      <c r="O3" s="62"/>
      <c r="P3" s="62"/>
      <c r="R3" s="62"/>
      <c r="S3" s="62"/>
      <c r="U3" s="62"/>
      <c r="V3" s="62"/>
      <c r="X3" s="62"/>
      <c r="Y3" s="62"/>
      <c r="AA3" s="62"/>
      <c r="AB3" s="62"/>
      <c r="AD3" s="62"/>
      <c r="AE3" s="62"/>
      <c r="AG3" s="62"/>
      <c r="AH3" s="62"/>
      <c r="AJ3" s="62"/>
      <c r="AK3" s="62"/>
      <c r="AM3" s="62"/>
      <c r="AN3" s="62"/>
      <c r="AP3" s="62"/>
      <c r="AQ3" s="62"/>
      <c r="AS3" s="62"/>
      <c r="AT3" s="62"/>
      <c r="AV3" s="62"/>
      <c r="AW3" s="62"/>
      <c r="AX3" s="62"/>
      <c r="AY3" s="62"/>
      <c r="AZ3" s="62"/>
      <c r="BA3" s="62"/>
      <c r="BB3" s="62"/>
    </row>
    <row r="4" spans="1:54" ht="15.75" x14ac:dyDescent="0.25">
      <c r="A4" s="5" t="s">
        <v>3</v>
      </c>
      <c r="B4" s="5"/>
      <c r="C4" s="5"/>
      <c r="D4" s="4"/>
      <c r="E4" s="654" t="s">
        <v>43</v>
      </c>
      <c r="F4" s="654"/>
      <c r="G4" s="654"/>
      <c r="H4" s="6"/>
      <c r="I4" s="6"/>
      <c r="J4" s="6"/>
      <c r="K4" s="6"/>
      <c r="L4" s="6"/>
      <c r="N4" s="6"/>
      <c r="Q4" s="6"/>
      <c r="T4" s="6"/>
      <c r="W4" s="6"/>
      <c r="Z4" s="6"/>
      <c r="AC4" s="6"/>
      <c r="AF4" s="6"/>
      <c r="AI4" s="6"/>
      <c r="AL4" s="6"/>
      <c r="AO4" s="6"/>
      <c r="AR4" s="6"/>
      <c r="AU4" s="6"/>
    </row>
    <row r="5" spans="1:54" ht="15.75" customHeight="1" x14ac:dyDescent="0.25">
      <c r="A5" s="5" t="s">
        <v>4</v>
      </c>
      <c r="B5" s="5"/>
      <c r="C5" s="5"/>
      <c r="D5" s="4"/>
      <c r="E5" s="771" t="e">
        <f>RESUMO!#REF!</f>
        <v>#REF!</v>
      </c>
      <c r="F5" s="771"/>
      <c r="G5" s="771"/>
      <c r="H5" s="771"/>
      <c r="I5" s="771"/>
      <c r="J5" s="771"/>
      <c r="K5" s="771"/>
      <c r="L5" s="191"/>
      <c r="M5" s="219"/>
      <c r="N5" s="6"/>
      <c r="Q5" s="6"/>
      <c r="T5" s="6"/>
      <c r="W5" s="6"/>
      <c r="Z5" s="6"/>
      <c r="AC5" s="6"/>
      <c r="AF5" s="6"/>
      <c r="AI5" s="6"/>
      <c r="AL5" s="6"/>
      <c r="AO5" s="6"/>
      <c r="AR5" s="6"/>
      <c r="AU5" s="6"/>
    </row>
    <row r="6" spans="1:54" ht="18" x14ac:dyDescent="0.25">
      <c r="A6" s="1" t="e">
        <f>RESUMO!#REF!</f>
        <v>#REF!</v>
      </c>
      <c r="B6" s="5"/>
      <c r="C6" s="5"/>
      <c r="D6" s="5"/>
      <c r="E6" s="771"/>
      <c r="F6" s="771"/>
      <c r="G6" s="771"/>
      <c r="H6" s="771"/>
      <c r="I6" s="771"/>
      <c r="J6" s="771"/>
      <c r="K6" s="771"/>
      <c r="L6" s="191"/>
      <c r="N6" s="6"/>
      <c r="Q6" s="6"/>
      <c r="T6" s="6"/>
      <c r="W6" s="6"/>
      <c r="Z6" s="6"/>
      <c r="AC6" s="6"/>
      <c r="AF6" s="6"/>
      <c r="AI6" s="6"/>
      <c r="AL6" s="6"/>
      <c r="AO6" s="6"/>
      <c r="AR6" s="6"/>
      <c r="AU6" s="6"/>
      <c r="AW6" s="6"/>
      <c r="AX6" s="6"/>
      <c r="AY6" s="6"/>
    </row>
    <row r="7" spans="1:54" ht="42" customHeight="1" x14ac:dyDescent="0.25">
      <c r="A7" s="1" t="e">
        <f>RESUMO!#REF!</f>
        <v>#REF!</v>
      </c>
      <c r="B7" s="5"/>
      <c r="C7" s="5"/>
      <c r="D7" s="5"/>
      <c r="E7" s="771"/>
      <c r="F7" s="771"/>
      <c r="G7" s="771"/>
      <c r="H7" s="771"/>
      <c r="I7" s="771"/>
      <c r="J7" s="771"/>
      <c r="K7" s="771"/>
      <c r="L7" s="191"/>
      <c r="N7" s="403"/>
      <c r="Q7" s="6"/>
      <c r="T7" s="6"/>
      <c r="W7" s="6"/>
      <c r="Z7" s="6"/>
      <c r="AC7" s="6"/>
      <c r="AF7" s="6"/>
      <c r="AI7" s="6"/>
      <c r="AL7" s="6"/>
      <c r="AO7" s="6"/>
      <c r="AR7" s="6"/>
      <c r="AU7" s="6"/>
      <c r="AW7" s="6"/>
      <c r="AX7" s="6"/>
      <c r="AY7" s="6"/>
    </row>
    <row r="8" spans="1:54" ht="18.75" thickBot="1" x14ac:dyDescent="0.3">
      <c r="A8" s="1" t="str">
        <f>RESUMO!A7</f>
        <v xml:space="preserve">RESUMO DA PLANILHA ORÇAMENTARIA </v>
      </c>
      <c r="B8" s="9"/>
      <c r="C8" s="9"/>
      <c r="D8" s="10"/>
      <c r="E8" s="64" t="s">
        <v>45</v>
      </c>
      <c r="F8" s="6"/>
      <c r="G8" s="689">
        <f>Reforma!G8</f>
        <v>0.2581</v>
      </c>
      <c r="H8" s="689"/>
      <c r="I8" s="236"/>
      <c r="J8" s="64" t="s">
        <v>57</v>
      </c>
      <c r="K8" s="236">
        <f>Reforma!K8</f>
        <v>0</v>
      </c>
      <c r="L8" s="21"/>
      <c r="N8" s="6"/>
      <c r="Q8" s="6"/>
      <c r="T8" s="6"/>
      <c r="W8" s="6"/>
      <c r="Z8" s="6"/>
      <c r="AC8" s="6"/>
      <c r="AF8" s="6"/>
      <c r="AI8" s="6"/>
      <c r="AL8" s="6"/>
      <c r="AO8" s="6"/>
      <c r="AR8" s="6"/>
      <c r="AU8" s="6"/>
    </row>
    <row r="9" spans="1:54" ht="16.5" customHeight="1" thickBot="1" x14ac:dyDescent="0.25">
      <c r="A9" s="645" t="s">
        <v>13</v>
      </c>
      <c r="B9" s="655" t="s">
        <v>59</v>
      </c>
      <c r="C9" s="655" t="s">
        <v>60</v>
      </c>
      <c r="D9" s="645" t="s">
        <v>61</v>
      </c>
      <c r="E9" s="655" t="s">
        <v>62</v>
      </c>
      <c r="F9" s="740" t="s">
        <v>1129</v>
      </c>
      <c r="G9" s="660" t="s">
        <v>64</v>
      </c>
      <c r="H9" s="664"/>
      <c r="I9" s="661"/>
      <c r="J9" s="660" t="s">
        <v>65</v>
      </c>
      <c r="K9" s="661"/>
      <c r="L9" s="196"/>
      <c r="M9" s="649" t="s">
        <v>66</v>
      </c>
      <c r="N9" s="649"/>
      <c r="O9" s="649"/>
      <c r="P9" s="649" t="s">
        <v>67</v>
      </c>
      <c r="Q9" s="649"/>
      <c r="R9" s="649"/>
      <c r="S9" s="649" t="s">
        <v>68</v>
      </c>
      <c r="T9" s="649"/>
      <c r="U9" s="649"/>
      <c r="V9" s="649" t="s">
        <v>69</v>
      </c>
      <c r="W9" s="649"/>
      <c r="X9" s="649"/>
      <c r="Y9" s="649" t="s">
        <v>70</v>
      </c>
      <c r="Z9" s="649"/>
      <c r="AA9" s="649"/>
      <c r="AB9" s="649" t="s">
        <v>71</v>
      </c>
      <c r="AC9" s="649"/>
      <c r="AD9" s="649"/>
      <c r="AE9" s="649" t="s">
        <v>72</v>
      </c>
      <c r="AF9" s="649"/>
      <c r="AG9" s="649"/>
      <c r="AH9" s="649" t="s">
        <v>73</v>
      </c>
      <c r="AI9" s="649"/>
      <c r="AJ9" s="649"/>
      <c r="AK9" s="649" t="s">
        <v>74</v>
      </c>
      <c r="AL9" s="649"/>
      <c r="AM9" s="649"/>
      <c r="AN9" s="649" t="s">
        <v>75</v>
      </c>
      <c r="AO9" s="649"/>
      <c r="AP9" s="649"/>
      <c r="AQ9" s="649" t="s">
        <v>76</v>
      </c>
      <c r="AR9" s="649"/>
      <c r="AS9" s="649"/>
      <c r="AT9" s="649" t="s">
        <v>77</v>
      </c>
      <c r="AU9" s="649"/>
      <c r="AV9" s="649"/>
      <c r="AW9" s="649" t="s">
        <v>78</v>
      </c>
      <c r="AX9" s="649"/>
      <c r="AY9" s="649"/>
      <c r="AZ9" s="649" t="s">
        <v>79</v>
      </c>
      <c r="BA9" s="649"/>
      <c r="BB9" s="649"/>
    </row>
    <row r="10" spans="1:54" ht="15.75" customHeight="1" thickBot="1" x14ac:dyDescent="0.25">
      <c r="A10" s="646"/>
      <c r="B10" s="656"/>
      <c r="C10" s="656"/>
      <c r="D10" s="646"/>
      <c r="E10" s="656"/>
      <c r="F10" s="741"/>
      <c r="G10" s="662"/>
      <c r="H10" s="665"/>
      <c r="I10" s="663"/>
      <c r="J10" s="662"/>
      <c r="K10" s="663"/>
      <c r="L10" s="197"/>
      <c r="M10" s="651" t="s">
        <v>86</v>
      </c>
      <c r="N10" s="650" t="s">
        <v>87</v>
      </c>
      <c r="O10" s="390" t="s">
        <v>88</v>
      </c>
      <c r="P10" s="651" t="s">
        <v>86</v>
      </c>
      <c r="Q10" s="650" t="s">
        <v>87</v>
      </c>
      <c r="R10" s="390" t="s">
        <v>88</v>
      </c>
      <c r="S10" s="651" t="s">
        <v>86</v>
      </c>
      <c r="T10" s="650" t="s">
        <v>87</v>
      </c>
      <c r="U10" s="390" t="s">
        <v>88</v>
      </c>
      <c r="V10" s="651" t="s">
        <v>86</v>
      </c>
      <c r="W10" s="650" t="s">
        <v>87</v>
      </c>
      <c r="X10" s="390" t="s">
        <v>88</v>
      </c>
      <c r="Y10" s="651" t="s">
        <v>86</v>
      </c>
      <c r="Z10" s="650" t="s">
        <v>87</v>
      </c>
      <c r="AA10" s="390" t="s">
        <v>88</v>
      </c>
      <c r="AB10" s="651" t="s">
        <v>86</v>
      </c>
      <c r="AC10" s="650" t="s">
        <v>87</v>
      </c>
      <c r="AD10" s="390" t="s">
        <v>88</v>
      </c>
      <c r="AE10" s="651" t="s">
        <v>86</v>
      </c>
      <c r="AF10" s="650" t="s">
        <v>87</v>
      </c>
      <c r="AG10" s="390" t="s">
        <v>88</v>
      </c>
      <c r="AH10" s="651" t="s">
        <v>86</v>
      </c>
      <c r="AI10" s="650" t="s">
        <v>87</v>
      </c>
      <c r="AJ10" s="390" t="s">
        <v>88</v>
      </c>
      <c r="AK10" s="651" t="s">
        <v>86</v>
      </c>
      <c r="AL10" s="650" t="s">
        <v>87</v>
      </c>
      <c r="AM10" s="390" t="s">
        <v>88</v>
      </c>
      <c r="AN10" s="651" t="s">
        <v>86</v>
      </c>
      <c r="AO10" s="650" t="s">
        <v>87</v>
      </c>
      <c r="AP10" s="390" t="s">
        <v>88</v>
      </c>
      <c r="AQ10" s="651" t="s">
        <v>86</v>
      </c>
      <c r="AR10" s="650" t="s">
        <v>87</v>
      </c>
      <c r="AS10" s="390" t="s">
        <v>88</v>
      </c>
      <c r="AT10" s="651" t="s">
        <v>86</v>
      </c>
      <c r="AU10" s="650" t="s">
        <v>87</v>
      </c>
      <c r="AV10" s="390" t="s">
        <v>88</v>
      </c>
      <c r="AW10" s="651" t="s">
        <v>86</v>
      </c>
      <c r="AX10" s="650" t="s">
        <v>87</v>
      </c>
      <c r="AY10" s="390" t="s">
        <v>88</v>
      </c>
      <c r="AZ10" s="651" t="s">
        <v>86</v>
      </c>
      <c r="BA10" s="650" t="s">
        <v>87</v>
      </c>
      <c r="BB10" s="390" t="s">
        <v>88</v>
      </c>
    </row>
    <row r="11" spans="1:54" ht="16.5" thickBot="1" x14ac:dyDescent="0.25">
      <c r="A11" s="647"/>
      <c r="B11" s="657"/>
      <c r="C11" s="657"/>
      <c r="D11" s="647"/>
      <c r="E11" s="657"/>
      <c r="F11" s="742"/>
      <c r="G11" s="394" t="s">
        <v>89</v>
      </c>
      <c r="H11" s="394" t="s">
        <v>90</v>
      </c>
      <c r="I11" s="394" t="s">
        <v>91</v>
      </c>
      <c r="J11" s="388" t="s">
        <v>92</v>
      </c>
      <c r="K11" s="389" t="s">
        <v>89</v>
      </c>
      <c r="L11" s="388" t="s">
        <v>91</v>
      </c>
      <c r="M11" s="651"/>
      <c r="N11" s="650"/>
      <c r="O11" s="390" t="s">
        <v>21</v>
      </c>
      <c r="P11" s="651"/>
      <c r="Q11" s="650"/>
      <c r="R11" s="390" t="s">
        <v>21</v>
      </c>
      <c r="S11" s="651"/>
      <c r="T11" s="650"/>
      <c r="U11" s="390" t="s">
        <v>21</v>
      </c>
      <c r="V11" s="651"/>
      <c r="W11" s="650"/>
      <c r="X11" s="390" t="s">
        <v>21</v>
      </c>
      <c r="Y11" s="651"/>
      <c r="Z11" s="650"/>
      <c r="AA11" s="390" t="s">
        <v>21</v>
      </c>
      <c r="AB11" s="651"/>
      <c r="AC11" s="650"/>
      <c r="AD11" s="390" t="s">
        <v>21</v>
      </c>
      <c r="AE11" s="651"/>
      <c r="AF11" s="650"/>
      <c r="AG11" s="390" t="s">
        <v>21</v>
      </c>
      <c r="AH11" s="651"/>
      <c r="AI11" s="650"/>
      <c r="AJ11" s="390" t="s">
        <v>21</v>
      </c>
      <c r="AK11" s="651"/>
      <c r="AL11" s="650"/>
      <c r="AM11" s="390" t="s">
        <v>21</v>
      </c>
      <c r="AN11" s="651"/>
      <c r="AO11" s="650"/>
      <c r="AP11" s="390" t="s">
        <v>21</v>
      </c>
      <c r="AQ11" s="651"/>
      <c r="AR11" s="650"/>
      <c r="AS11" s="390" t="s">
        <v>21</v>
      </c>
      <c r="AT11" s="651"/>
      <c r="AU11" s="650"/>
      <c r="AV11" s="390" t="s">
        <v>21</v>
      </c>
      <c r="AW11" s="651"/>
      <c r="AX11" s="650"/>
      <c r="AY11" s="390" t="s">
        <v>21</v>
      </c>
      <c r="AZ11" s="651"/>
      <c r="BA11" s="650"/>
      <c r="BB11" s="390" t="s">
        <v>21</v>
      </c>
    </row>
    <row r="12" spans="1:54" s="3" customFormat="1" ht="15" x14ac:dyDescent="0.2">
      <c r="A12" s="229" t="s">
        <v>1130</v>
      </c>
      <c r="B12" s="290"/>
      <c r="C12" s="290"/>
      <c r="D12" s="230" t="s">
        <v>1131</v>
      </c>
      <c r="E12" s="201"/>
      <c r="F12" s="202"/>
      <c r="G12" s="202"/>
      <c r="H12" s="202"/>
      <c r="I12" s="202"/>
      <c r="J12" s="202"/>
      <c r="K12" s="84"/>
      <c r="L12" s="205"/>
      <c r="M12" s="207"/>
      <c r="N12" s="98"/>
      <c r="O12" s="208"/>
      <c r="P12" s="209"/>
      <c r="Q12" s="98"/>
      <c r="R12" s="208"/>
      <c r="S12" s="209"/>
      <c r="T12" s="98"/>
      <c r="U12" s="208"/>
      <c r="V12" s="209"/>
      <c r="W12" s="98"/>
      <c r="X12" s="208"/>
      <c r="Y12" s="209"/>
      <c r="Z12" s="98"/>
      <c r="AA12" s="208"/>
      <c r="AB12" s="209"/>
      <c r="AC12" s="98"/>
      <c r="AD12" s="208"/>
      <c r="AE12" s="209"/>
      <c r="AF12" s="98"/>
      <c r="AG12" s="208"/>
      <c r="AH12" s="209"/>
      <c r="AI12" s="98"/>
      <c r="AJ12" s="208"/>
      <c r="AK12" s="209"/>
      <c r="AL12" s="98"/>
      <c r="AM12" s="208"/>
      <c r="AN12" s="209"/>
      <c r="AO12" s="98"/>
      <c r="AP12" s="208"/>
      <c r="AQ12" s="209"/>
      <c r="AR12" s="98"/>
      <c r="AS12" s="208"/>
      <c r="AT12" s="209"/>
      <c r="AU12" s="98"/>
      <c r="AV12" s="210"/>
      <c r="AW12" s="209"/>
      <c r="AX12" s="98"/>
      <c r="AY12" s="211"/>
      <c r="AZ12" s="212"/>
      <c r="BA12" s="98"/>
      <c r="BB12" s="211"/>
    </row>
    <row r="13" spans="1:54" s="3" customFormat="1" ht="15" x14ac:dyDescent="0.2">
      <c r="A13" s="57" t="s">
        <v>94</v>
      </c>
      <c r="B13" s="338" t="s">
        <v>174</v>
      </c>
      <c r="C13" s="28" t="s">
        <v>175</v>
      </c>
      <c r="D13" s="58" t="s">
        <v>176</v>
      </c>
      <c r="E13" s="28" t="s">
        <v>119</v>
      </c>
      <c r="F13" s="339">
        <v>20.56</v>
      </c>
      <c r="G13" s="231">
        <v>55.377000000000002</v>
      </c>
      <c r="H13" s="44">
        <f t="shared" ref="H13:H21" si="0">G13</f>
        <v>55.377000000000002</v>
      </c>
      <c r="I13" s="37">
        <f t="shared" ref="I13:I21" si="1">H13-G13</f>
        <v>0</v>
      </c>
      <c r="J13" s="37">
        <f t="shared" ref="J13:J21" si="2">ROUND((F13*(1+$K$8))*(1+$G$8),2)</f>
        <v>25.87</v>
      </c>
      <c r="K13" s="38">
        <f t="shared" ref="K13:K21" si="3">TRUNC(J13*G13,2)</f>
        <v>1432.6</v>
      </c>
      <c r="L13" s="206">
        <f t="shared" ref="L13:L21" si="4">TRUNC(J13*I13,2)</f>
        <v>0</v>
      </c>
      <c r="M13" s="213">
        <f t="shared" ref="M13:M21" si="5">N13/$H13*100</f>
        <v>0</v>
      </c>
      <c r="N13" s="98"/>
      <c r="O13" s="98">
        <f t="shared" ref="O13:O21" si="6">TRUNC(N13*$J13,2)</f>
        <v>0</v>
      </c>
      <c r="P13" s="214">
        <f t="shared" ref="P13:P21" si="7">Q13/$H13*100</f>
        <v>0</v>
      </c>
      <c r="Q13" s="98"/>
      <c r="R13" s="98">
        <f t="shared" ref="R13:R21" si="8">TRUNC(Q13*$J13,2)</f>
        <v>0</v>
      </c>
      <c r="S13" s="214">
        <f t="shared" ref="S13:S21" si="9">T13/$H13*100</f>
        <v>0</v>
      </c>
      <c r="T13" s="98"/>
      <c r="U13" s="98">
        <f t="shared" ref="U13:U21" si="10">TRUNC(T13*$J13,2)</f>
        <v>0</v>
      </c>
      <c r="V13" s="214">
        <f t="shared" ref="V13:V21" si="11">W13/$H13*100</f>
        <v>0</v>
      </c>
      <c r="W13" s="98"/>
      <c r="X13" s="98">
        <f t="shared" ref="X13:X21" si="12">TRUNC(W13*$J13,2)</f>
        <v>0</v>
      </c>
      <c r="Y13" s="214">
        <f t="shared" ref="Y13:Y21" si="13">Z13/$H13*100</f>
        <v>0</v>
      </c>
      <c r="Z13" s="98"/>
      <c r="AA13" s="98">
        <f t="shared" ref="AA13:AA21" si="14">TRUNC(Z13*$J13,2)</f>
        <v>0</v>
      </c>
      <c r="AB13" s="214">
        <f t="shared" ref="AB13:AB21" si="15">AC13/$H13*100</f>
        <v>0</v>
      </c>
      <c r="AC13" s="98"/>
      <c r="AD13" s="98">
        <f t="shared" ref="AD13:AD21" si="16">TRUNC(AC13*$J13,2)</f>
        <v>0</v>
      </c>
      <c r="AE13" s="214">
        <f t="shared" ref="AE13:AE21" si="17">AF13/$H13*100</f>
        <v>0</v>
      </c>
      <c r="AF13" s="98"/>
      <c r="AG13" s="98">
        <f t="shared" ref="AG13:AG21" si="18">TRUNC(AF13*$J13,2)</f>
        <v>0</v>
      </c>
      <c r="AH13" s="214">
        <f t="shared" ref="AH13:AH21" si="19">AI13/$H13*100</f>
        <v>0</v>
      </c>
      <c r="AI13" s="98"/>
      <c r="AJ13" s="98">
        <f t="shared" ref="AJ13:AJ21" si="20">TRUNC(AI13*$J13,2)</f>
        <v>0</v>
      </c>
      <c r="AK13" s="214">
        <f t="shared" ref="AK13:AK21" si="21">AL13/$H13*100</f>
        <v>0</v>
      </c>
      <c r="AL13" s="98"/>
      <c r="AM13" s="98">
        <f t="shared" ref="AM13:AM21" si="22">TRUNC(AL13*$J13,2)</f>
        <v>0</v>
      </c>
      <c r="AN13" s="214">
        <f t="shared" ref="AN13:AN21" si="23">AO13/$H13*100</f>
        <v>0</v>
      </c>
      <c r="AO13" s="98"/>
      <c r="AP13" s="98">
        <f t="shared" ref="AP13:AP21" si="24">TRUNC(AO13*$J13,2)</f>
        <v>0</v>
      </c>
      <c r="AQ13" s="214">
        <f t="shared" ref="AQ13:AQ21" si="25">AR13/$H13*100</f>
        <v>0</v>
      </c>
      <c r="AR13" s="98"/>
      <c r="AS13" s="98">
        <f t="shared" ref="AS13:AS21" si="26">TRUNC(AR13*$J13,2)</f>
        <v>0</v>
      </c>
      <c r="AT13" s="214">
        <f t="shared" ref="AT13:AT21" si="27">AU13/$H13*100</f>
        <v>0</v>
      </c>
      <c r="AU13" s="98"/>
      <c r="AV13" s="215">
        <f t="shared" ref="AV13:AV21" si="28">TRUNC(AU13*$J13,2)</f>
        <v>0</v>
      </c>
      <c r="AW13" s="214">
        <f t="shared" ref="AW13:AW21" si="29">AX13/$H13*100</f>
        <v>0</v>
      </c>
      <c r="AX13" s="98">
        <f t="shared" ref="AX13:AX21" si="30">Q13+N13+T13+W13+Z13+AC13+AF13+AI13+AL13+AO13+AR13+AU13</f>
        <v>0</v>
      </c>
      <c r="AY13" s="204">
        <f t="shared" ref="AY13:AY21" si="31">TRUNC(AX13*$J13,2)</f>
        <v>0</v>
      </c>
      <c r="AZ13" s="214">
        <f t="shared" ref="AZ13:AZ21" si="32">BA13/$H13*100</f>
        <v>100</v>
      </c>
      <c r="BA13" s="98">
        <f t="shared" ref="BA13:BA21" si="33">H13-AX13</f>
        <v>55.377000000000002</v>
      </c>
      <c r="BB13" s="204">
        <f t="shared" ref="BB13:BB21" si="34">TRUNC(BA13*$J13,2)</f>
        <v>1432.6</v>
      </c>
    </row>
    <row r="14" spans="1:54" s="3" customFormat="1" ht="15" x14ac:dyDescent="0.2">
      <c r="A14" s="57" t="s">
        <v>94</v>
      </c>
      <c r="B14" s="338" t="s">
        <v>1132</v>
      </c>
      <c r="C14" s="28" t="s">
        <v>1133</v>
      </c>
      <c r="D14" s="58" t="s">
        <v>1134</v>
      </c>
      <c r="E14" s="28" t="s">
        <v>119</v>
      </c>
      <c r="F14" s="339">
        <v>23.79</v>
      </c>
      <c r="G14" s="231">
        <f>D36+D37</f>
        <v>1.5633119999999998</v>
      </c>
      <c r="H14" s="44">
        <f>G14</f>
        <v>1.5633119999999998</v>
      </c>
      <c r="I14" s="37">
        <f>H14-G14</f>
        <v>0</v>
      </c>
      <c r="J14" s="37">
        <f>ROUND((F14*(1+$K$8))*(1+$G$8),2)</f>
        <v>29.93</v>
      </c>
      <c r="K14" s="38">
        <f>TRUNC(J14*G14,2)</f>
        <v>46.78</v>
      </c>
      <c r="L14" s="206">
        <f>TRUNC(J14*I14,2)</f>
        <v>0</v>
      </c>
      <c r="M14" s="213">
        <f>N14/$H14*100</f>
        <v>0</v>
      </c>
      <c r="N14" s="98"/>
      <c r="O14" s="98">
        <f>TRUNC(N14*$J14,2)</f>
        <v>0</v>
      </c>
      <c r="P14" s="214">
        <f>Q14/$H14*100</f>
        <v>0</v>
      </c>
      <c r="Q14" s="98"/>
      <c r="R14" s="98">
        <f>TRUNC(Q14*$J14,2)</f>
        <v>0</v>
      </c>
      <c r="S14" s="214">
        <f>T14/$H14*100</f>
        <v>0</v>
      </c>
      <c r="T14" s="98"/>
      <c r="U14" s="98">
        <f>TRUNC(T14*$J14,2)</f>
        <v>0</v>
      </c>
      <c r="V14" s="214">
        <f>W14/$H14*100</f>
        <v>0</v>
      </c>
      <c r="W14" s="98"/>
      <c r="X14" s="98">
        <f>TRUNC(W14*$J14,2)</f>
        <v>0</v>
      </c>
      <c r="Y14" s="214">
        <f>Z14/$H14*100</f>
        <v>0</v>
      </c>
      <c r="Z14" s="98"/>
      <c r="AA14" s="98">
        <f>TRUNC(Z14*$J14,2)</f>
        <v>0</v>
      </c>
      <c r="AB14" s="214">
        <f>AC14/$H14*100</f>
        <v>0</v>
      </c>
      <c r="AC14" s="98"/>
      <c r="AD14" s="98">
        <f>TRUNC(AC14*$J14,2)</f>
        <v>0</v>
      </c>
      <c r="AE14" s="214">
        <f>AF14/$H14*100</f>
        <v>0</v>
      </c>
      <c r="AF14" s="98"/>
      <c r="AG14" s="98">
        <f>TRUNC(AF14*$J14,2)</f>
        <v>0</v>
      </c>
      <c r="AH14" s="214">
        <f>AI14/$H14*100</f>
        <v>0</v>
      </c>
      <c r="AI14" s="98"/>
      <c r="AJ14" s="98">
        <f>TRUNC(AI14*$J14,2)</f>
        <v>0</v>
      </c>
      <c r="AK14" s="214">
        <f>AL14/$H14*100</f>
        <v>0</v>
      </c>
      <c r="AL14" s="98"/>
      <c r="AM14" s="98">
        <f>TRUNC(AL14*$J14,2)</f>
        <v>0</v>
      </c>
      <c r="AN14" s="214">
        <f>AO14/$H14*100</f>
        <v>0</v>
      </c>
      <c r="AO14" s="98"/>
      <c r="AP14" s="98">
        <f>TRUNC(AO14*$J14,2)</f>
        <v>0</v>
      </c>
      <c r="AQ14" s="214">
        <f>AR14/$H14*100</f>
        <v>0</v>
      </c>
      <c r="AR14" s="98"/>
      <c r="AS14" s="98">
        <f>TRUNC(AR14*$J14,2)</f>
        <v>0</v>
      </c>
      <c r="AT14" s="214">
        <f>AU14/$H14*100</f>
        <v>0</v>
      </c>
      <c r="AU14" s="98"/>
      <c r="AV14" s="215">
        <f>TRUNC(AU14*$J14,2)</f>
        <v>0</v>
      </c>
      <c r="AW14" s="214">
        <f>AX14/$H14*100</f>
        <v>0</v>
      </c>
      <c r="AX14" s="98">
        <f>Q14+N14+T14+W14+Z14+AC14+AF14+AI14+AL14+AO14+AR14+AU14</f>
        <v>0</v>
      </c>
      <c r="AY14" s="204">
        <f>TRUNC(AX14*$J14,2)</f>
        <v>0</v>
      </c>
      <c r="AZ14" s="214">
        <f>BA14/$H14*100</f>
        <v>100</v>
      </c>
      <c r="BA14" s="98">
        <f>H14-AX14</f>
        <v>1.5633119999999998</v>
      </c>
      <c r="BB14" s="204">
        <f>TRUNC(BA14*$J14,2)</f>
        <v>46.78</v>
      </c>
    </row>
    <row r="15" spans="1:54" s="3" customFormat="1" ht="43.5" x14ac:dyDescent="0.2">
      <c r="A15" s="57" t="s">
        <v>94</v>
      </c>
      <c r="B15" s="37" t="s">
        <v>1135</v>
      </c>
      <c r="C15" s="37" t="s">
        <v>1135</v>
      </c>
      <c r="D15" s="50" t="s">
        <v>1136</v>
      </c>
      <c r="E15" s="28" t="s">
        <v>110</v>
      </c>
      <c r="F15" s="339">
        <f>236.36*1.25</f>
        <v>295.45000000000005</v>
      </c>
      <c r="G15" s="231">
        <v>4</v>
      </c>
      <c r="H15" s="44">
        <f>G15</f>
        <v>4</v>
      </c>
      <c r="I15" s="37">
        <f>H15-G15</f>
        <v>0</v>
      </c>
      <c r="J15" s="37">
        <f>ROUND((F15*(1+$K$8))*(1+$G$8),2)</f>
        <v>371.71</v>
      </c>
      <c r="K15" s="38">
        <f>TRUNC(J15*G15,2)</f>
        <v>1486.84</v>
      </c>
      <c r="L15" s="206">
        <f>TRUNC(J15*I15,2)</f>
        <v>0</v>
      </c>
      <c r="M15" s="213">
        <f>N15/$H15*100</f>
        <v>0</v>
      </c>
      <c r="N15" s="98"/>
      <c r="O15" s="98">
        <f>TRUNC(N15*$J15,2)</f>
        <v>0</v>
      </c>
      <c r="P15" s="214">
        <f>Q15/$H15*100</f>
        <v>0</v>
      </c>
      <c r="Q15" s="98"/>
      <c r="R15" s="98">
        <f>TRUNC(Q15*$J15,2)</f>
        <v>0</v>
      </c>
      <c r="S15" s="214">
        <f>T15/$H15*100</f>
        <v>0</v>
      </c>
      <c r="T15" s="98"/>
      <c r="U15" s="98">
        <f>TRUNC(T15*$J15,2)</f>
        <v>0</v>
      </c>
      <c r="V15" s="214">
        <f>W15/$H15*100</f>
        <v>0</v>
      </c>
      <c r="W15" s="98"/>
      <c r="X15" s="98">
        <f>TRUNC(W15*$J15,2)</f>
        <v>0</v>
      </c>
      <c r="Y15" s="214">
        <f>Z15/$H15*100</f>
        <v>0</v>
      </c>
      <c r="Z15" s="98"/>
      <c r="AA15" s="98">
        <f>TRUNC(Z15*$J15,2)</f>
        <v>0</v>
      </c>
      <c r="AB15" s="214">
        <f>AC15/$H15*100</f>
        <v>0</v>
      </c>
      <c r="AC15" s="98"/>
      <c r="AD15" s="98">
        <f>TRUNC(AC15*$J15,2)</f>
        <v>0</v>
      </c>
      <c r="AE15" s="214">
        <f>AF15/$H15*100</f>
        <v>0</v>
      </c>
      <c r="AF15" s="98"/>
      <c r="AG15" s="98">
        <f>TRUNC(AF15*$J15,2)</f>
        <v>0</v>
      </c>
      <c r="AH15" s="214">
        <f>AI15/$H15*100</f>
        <v>0</v>
      </c>
      <c r="AI15" s="98"/>
      <c r="AJ15" s="98">
        <f>TRUNC(AI15*$J15,2)</f>
        <v>0</v>
      </c>
      <c r="AK15" s="214">
        <f>AL15/$H15*100</f>
        <v>0</v>
      </c>
      <c r="AL15" s="98"/>
      <c r="AM15" s="98">
        <f>TRUNC(AL15*$J15,2)</f>
        <v>0</v>
      </c>
      <c r="AN15" s="214">
        <f>AO15/$H15*100</f>
        <v>0</v>
      </c>
      <c r="AO15" s="98"/>
      <c r="AP15" s="98">
        <f>TRUNC(AO15*$J15,2)</f>
        <v>0</v>
      </c>
      <c r="AQ15" s="214">
        <f>AR15/$H15*100</f>
        <v>0</v>
      </c>
      <c r="AR15" s="98"/>
      <c r="AS15" s="98">
        <f>TRUNC(AR15*$J15,2)</f>
        <v>0</v>
      </c>
      <c r="AT15" s="214">
        <f>AU15/$H15*100</f>
        <v>0</v>
      </c>
      <c r="AU15" s="98"/>
      <c r="AV15" s="215">
        <f>TRUNC(AU15*$J15,2)</f>
        <v>0</v>
      </c>
      <c r="AW15" s="214">
        <f>AX15/$H15*100</f>
        <v>0</v>
      </c>
      <c r="AX15" s="98">
        <f>Q15+N15+T15+W15+Z15+AC15+AF15+AI15+AL15+AO15+AR15+AU15</f>
        <v>0</v>
      </c>
      <c r="AY15" s="204">
        <f>TRUNC(AX15*$J15,2)</f>
        <v>0</v>
      </c>
      <c r="AZ15" s="214">
        <f>BA15/$H15*100</f>
        <v>100</v>
      </c>
      <c r="BA15" s="98">
        <f>H15-AX15</f>
        <v>4</v>
      </c>
      <c r="BB15" s="204">
        <f>TRUNC(BA15*$J15,2)</f>
        <v>1486.84</v>
      </c>
    </row>
    <row r="16" spans="1:54" s="3" customFormat="1" ht="43.5" x14ac:dyDescent="0.2">
      <c r="A16" s="57" t="s">
        <v>94</v>
      </c>
      <c r="B16" s="37" t="s">
        <v>1135</v>
      </c>
      <c r="C16" s="37" t="s">
        <v>1135</v>
      </c>
      <c r="D16" s="50" t="s">
        <v>1137</v>
      </c>
      <c r="E16" s="28" t="s">
        <v>110</v>
      </c>
      <c r="F16" s="231">
        <v>461.64</v>
      </c>
      <c r="G16" s="231">
        <v>2</v>
      </c>
      <c r="H16" s="44">
        <f>G16</f>
        <v>2</v>
      </c>
      <c r="I16" s="37">
        <f>H16-G16</f>
        <v>0</v>
      </c>
      <c r="J16" s="37">
        <f>ROUND((F16*(1+$K$8))*(1+$G$8),2)</f>
        <v>580.79</v>
      </c>
      <c r="K16" s="38">
        <f>TRUNC(J16*G16,2)</f>
        <v>1161.58</v>
      </c>
      <c r="L16" s="206">
        <f>TRUNC(J16*I16,2)</f>
        <v>0</v>
      </c>
      <c r="M16" s="213">
        <f>N16/$H16*100</f>
        <v>0</v>
      </c>
      <c r="N16" s="98"/>
      <c r="O16" s="98">
        <f>TRUNC(N16*$J16,2)</f>
        <v>0</v>
      </c>
      <c r="P16" s="214">
        <f>Q16/$H16*100</f>
        <v>0</v>
      </c>
      <c r="Q16" s="98"/>
      <c r="R16" s="98">
        <f>TRUNC(Q16*$J16,2)</f>
        <v>0</v>
      </c>
      <c r="S16" s="214">
        <f>T16/$H16*100</f>
        <v>0</v>
      </c>
      <c r="T16" s="98"/>
      <c r="U16" s="98">
        <f>TRUNC(T16*$J16,2)</f>
        <v>0</v>
      </c>
      <c r="V16" s="214">
        <f>W16/$H16*100</f>
        <v>0</v>
      </c>
      <c r="W16" s="98"/>
      <c r="X16" s="98">
        <f>TRUNC(W16*$J16,2)</f>
        <v>0</v>
      </c>
      <c r="Y16" s="214">
        <f>Z16/$H16*100</f>
        <v>0</v>
      </c>
      <c r="Z16" s="98"/>
      <c r="AA16" s="98">
        <f>TRUNC(Z16*$J16,2)</f>
        <v>0</v>
      </c>
      <c r="AB16" s="214">
        <f>AC16/$H16*100</f>
        <v>0</v>
      </c>
      <c r="AC16" s="98"/>
      <c r="AD16" s="98">
        <f>TRUNC(AC16*$J16,2)</f>
        <v>0</v>
      </c>
      <c r="AE16" s="214">
        <f>AF16/$H16*100</f>
        <v>0</v>
      </c>
      <c r="AF16" s="98"/>
      <c r="AG16" s="98">
        <f>TRUNC(AF16*$J16,2)</f>
        <v>0</v>
      </c>
      <c r="AH16" s="214">
        <f>AI16/$H16*100</f>
        <v>0</v>
      </c>
      <c r="AI16" s="98"/>
      <c r="AJ16" s="98">
        <f>TRUNC(AI16*$J16,2)</f>
        <v>0</v>
      </c>
      <c r="AK16" s="214">
        <f>AL16/$H16*100</f>
        <v>0</v>
      </c>
      <c r="AL16" s="98"/>
      <c r="AM16" s="98">
        <f>TRUNC(AL16*$J16,2)</f>
        <v>0</v>
      </c>
      <c r="AN16" s="214">
        <f>AO16/$H16*100</f>
        <v>0</v>
      </c>
      <c r="AO16" s="98"/>
      <c r="AP16" s="98">
        <f>TRUNC(AO16*$J16,2)</f>
        <v>0</v>
      </c>
      <c r="AQ16" s="214">
        <f>AR16/$H16*100</f>
        <v>0</v>
      </c>
      <c r="AR16" s="98"/>
      <c r="AS16" s="98">
        <f>TRUNC(AR16*$J16,2)</f>
        <v>0</v>
      </c>
      <c r="AT16" s="214">
        <f>AU16/$H16*100</f>
        <v>0</v>
      </c>
      <c r="AU16" s="98"/>
      <c r="AV16" s="215">
        <f>TRUNC(AU16*$J16,2)</f>
        <v>0</v>
      </c>
      <c r="AW16" s="214">
        <f>AX16/$H16*100</f>
        <v>0</v>
      </c>
      <c r="AX16" s="98">
        <f>Q16+N16+T16+W16+Z16+AC16+AF16+AI16+AL16+AO16+AR16+AU16</f>
        <v>0</v>
      </c>
      <c r="AY16" s="204">
        <f>TRUNC(AX16*$J16,2)</f>
        <v>0</v>
      </c>
      <c r="AZ16" s="214">
        <f>BA16/$H16*100</f>
        <v>100</v>
      </c>
      <c r="BA16" s="98">
        <f>H16-AX16</f>
        <v>2</v>
      </c>
      <c r="BB16" s="204">
        <f>TRUNC(BA16*$J16,2)</f>
        <v>1161.58</v>
      </c>
    </row>
    <row r="17" spans="1:54" s="3" customFormat="1" ht="15" x14ac:dyDescent="0.2">
      <c r="A17" s="57" t="s">
        <v>99</v>
      </c>
      <c r="B17" s="338" t="s">
        <v>343</v>
      </c>
      <c r="C17" s="28" t="s">
        <v>344</v>
      </c>
      <c r="D17" s="58" t="s">
        <v>345</v>
      </c>
      <c r="E17" s="28" t="s">
        <v>98</v>
      </c>
      <c r="F17" s="339">
        <v>20.32</v>
      </c>
      <c r="G17" s="231">
        <v>110.754</v>
      </c>
      <c r="H17" s="44">
        <f t="shared" si="0"/>
        <v>110.754</v>
      </c>
      <c r="I17" s="37">
        <f t="shared" si="1"/>
        <v>0</v>
      </c>
      <c r="J17" s="37">
        <f t="shared" si="2"/>
        <v>25.56</v>
      </c>
      <c r="K17" s="38">
        <f t="shared" si="3"/>
        <v>2830.87</v>
      </c>
      <c r="L17" s="206">
        <f t="shared" si="4"/>
        <v>0</v>
      </c>
      <c r="M17" s="213">
        <f t="shared" si="5"/>
        <v>0</v>
      </c>
      <c r="N17" s="98"/>
      <c r="O17" s="98">
        <f t="shared" si="6"/>
        <v>0</v>
      </c>
      <c r="P17" s="214">
        <f t="shared" si="7"/>
        <v>0</v>
      </c>
      <c r="Q17" s="98"/>
      <c r="R17" s="98">
        <f t="shared" si="8"/>
        <v>0</v>
      </c>
      <c r="S17" s="214">
        <f t="shared" si="9"/>
        <v>0</v>
      </c>
      <c r="T17" s="98"/>
      <c r="U17" s="98">
        <f t="shared" si="10"/>
        <v>0</v>
      </c>
      <c r="V17" s="214">
        <f t="shared" si="11"/>
        <v>0</v>
      </c>
      <c r="W17" s="98"/>
      <c r="X17" s="98">
        <f t="shared" si="12"/>
        <v>0</v>
      </c>
      <c r="Y17" s="214">
        <f t="shared" si="13"/>
        <v>0</v>
      </c>
      <c r="Z17" s="98"/>
      <c r="AA17" s="98">
        <f t="shared" si="14"/>
        <v>0</v>
      </c>
      <c r="AB17" s="214">
        <f t="shared" si="15"/>
        <v>0</v>
      </c>
      <c r="AC17" s="98"/>
      <c r="AD17" s="98">
        <f t="shared" si="16"/>
        <v>0</v>
      </c>
      <c r="AE17" s="214">
        <f t="shared" si="17"/>
        <v>0</v>
      </c>
      <c r="AF17" s="98"/>
      <c r="AG17" s="98">
        <f t="shared" si="18"/>
        <v>0</v>
      </c>
      <c r="AH17" s="214">
        <f t="shared" si="19"/>
        <v>0</v>
      </c>
      <c r="AI17" s="98"/>
      <c r="AJ17" s="98">
        <f t="shared" si="20"/>
        <v>0</v>
      </c>
      <c r="AK17" s="214">
        <f t="shared" si="21"/>
        <v>0</v>
      </c>
      <c r="AL17" s="98"/>
      <c r="AM17" s="98">
        <f t="shared" si="22"/>
        <v>0</v>
      </c>
      <c r="AN17" s="214">
        <f t="shared" si="23"/>
        <v>0</v>
      </c>
      <c r="AO17" s="98"/>
      <c r="AP17" s="98">
        <f t="shared" si="24"/>
        <v>0</v>
      </c>
      <c r="AQ17" s="214">
        <f t="shared" si="25"/>
        <v>0</v>
      </c>
      <c r="AR17" s="98"/>
      <c r="AS17" s="98">
        <f t="shared" si="26"/>
        <v>0</v>
      </c>
      <c r="AT17" s="214">
        <f t="shared" si="27"/>
        <v>0</v>
      </c>
      <c r="AU17" s="98"/>
      <c r="AV17" s="215">
        <f t="shared" si="28"/>
        <v>0</v>
      </c>
      <c r="AW17" s="214">
        <f t="shared" si="29"/>
        <v>0</v>
      </c>
      <c r="AX17" s="98">
        <f t="shared" si="30"/>
        <v>0</v>
      </c>
      <c r="AY17" s="204">
        <f t="shared" si="31"/>
        <v>0</v>
      </c>
      <c r="AZ17" s="214">
        <f t="shared" si="32"/>
        <v>100</v>
      </c>
      <c r="BA17" s="98">
        <f t="shared" si="33"/>
        <v>110.754</v>
      </c>
      <c r="BB17" s="204">
        <f t="shared" si="34"/>
        <v>2830.87</v>
      </c>
    </row>
    <row r="18" spans="1:54" s="3" customFormat="1" ht="42.75" x14ac:dyDescent="0.2">
      <c r="A18" s="57" t="s">
        <v>103</v>
      </c>
      <c r="B18" s="338" t="s">
        <v>1138</v>
      </c>
      <c r="C18" s="28" t="s">
        <v>1139</v>
      </c>
      <c r="D18" s="50" t="s">
        <v>1140</v>
      </c>
      <c r="E18" s="28" t="s">
        <v>98</v>
      </c>
      <c r="F18" s="339">
        <v>39.15</v>
      </c>
      <c r="G18" s="231">
        <v>155.876</v>
      </c>
      <c r="H18" s="44">
        <f t="shared" si="0"/>
        <v>155.876</v>
      </c>
      <c r="I18" s="37">
        <f t="shared" si="1"/>
        <v>0</v>
      </c>
      <c r="J18" s="37">
        <f t="shared" si="2"/>
        <v>49.25</v>
      </c>
      <c r="K18" s="38">
        <f t="shared" si="3"/>
        <v>7676.89</v>
      </c>
      <c r="L18" s="206">
        <f t="shared" si="4"/>
        <v>0</v>
      </c>
      <c r="M18" s="213">
        <f t="shared" si="5"/>
        <v>0</v>
      </c>
      <c r="N18" s="98"/>
      <c r="O18" s="98">
        <f t="shared" si="6"/>
        <v>0</v>
      </c>
      <c r="P18" s="214">
        <f t="shared" si="7"/>
        <v>0</v>
      </c>
      <c r="Q18" s="98"/>
      <c r="R18" s="98">
        <f t="shared" si="8"/>
        <v>0</v>
      </c>
      <c r="S18" s="214">
        <f t="shared" si="9"/>
        <v>0</v>
      </c>
      <c r="T18" s="98"/>
      <c r="U18" s="98">
        <f t="shared" si="10"/>
        <v>0</v>
      </c>
      <c r="V18" s="214">
        <f t="shared" si="11"/>
        <v>0</v>
      </c>
      <c r="W18" s="98"/>
      <c r="X18" s="98">
        <f t="shared" si="12"/>
        <v>0</v>
      </c>
      <c r="Y18" s="214">
        <f t="shared" si="13"/>
        <v>0</v>
      </c>
      <c r="Z18" s="98"/>
      <c r="AA18" s="98">
        <f t="shared" si="14"/>
        <v>0</v>
      </c>
      <c r="AB18" s="214">
        <f t="shared" si="15"/>
        <v>0</v>
      </c>
      <c r="AC18" s="98"/>
      <c r="AD18" s="98">
        <f t="shared" si="16"/>
        <v>0</v>
      </c>
      <c r="AE18" s="214">
        <f t="shared" si="17"/>
        <v>0</v>
      </c>
      <c r="AF18" s="98"/>
      <c r="AG18" s="98">
        <f t="shared" si="18"/>
        <v>0</v>
      </c>
      <c r="AH18" s="214">
        <f t="shared" si="19"/>
        <v>0</v>
      </c>
      <c r="AI18" s="98"/>
      <c r="AJ18" s="98">
        <f t="shared" si="20"/>
        <v>0</v>
      </c>
      <c r="AK18" s="214">
        <f t="shared" si="21"/>
        <v>0</v>
      </c>
      <c r="AL18" s="98"/>
      <c r="AM18" s="98">
        <f t="shared" si="22"/>
        <v>0</v>
      </c>
      <c r="AN18" s="214">
        <f t="shared" si="23"/>
        <v>0</v>
      </c>
      <c r="AO18" s="98"/>
      <c r="AP18" s="98">
        <f t="shared" si="24"/>
        <v>0</v>
      </c>
      <c r="AQ18" s="214">
        <f t="shared" si="25"/>
        <v>0</v>
      </c>
      <c r="AR18" s="98"/>
      <c r="AS18" s="98">
        <f t="shared" si="26"/>
        <v>0</v>
      </c>
      <c r="AT18" s="214">
        <f t="shared" si="27"/>
        <v>0</v>
      </c>
      <c r="AU18" s="98"/>
      <c r="AV18" s="215">
        <f t="shared" si="28"/>
        <v>0</v>
      </c>
      <c r="AW18" s="214">
        <f t="shared" si="29"/>
        <v>0</v>
      </c>
      <c r="AX18" s="98">
        <f t="shared" si="30"/>
        <v>0</v>
      </c>
      <c r="AY18" s="204">
        <f t="shared" si="31"/>
        <v>0</v>
      </c>
      <c r="AZ18" s="214">
        <f t="shared" si="32"/>
        <v>100</v>
      </c>
      <c r="BA18" s="98">
        <f t="shared" si="33"/>
        <v>155.876</v>
      </c>
      <c r="BB18" s="204">
        <f t="shared" si="34"/>
        <v>7676.89</v>
      </c>
    </row>
    <row r="19" spans="1:54" s="3" customFormat="1" ht="28.5" x14ac:dyDescent="0.2">
      <c r="A19" s="57" t="s">
        <v>106</v>
      </c>
      <c r="B19" s="338" t="s">
        <v>1141</v>
      </c>
      <c r="C19" s="28" t="s">
        <v>1142</v>
      </c>
      <c r="D19" s="50" t="s">
        <v>1143</v>
      </c>
      <c r="E19" s="28" t="s">
        <v>98</v>
      </c>
      <c r="F19" s="329">
        <v>14.41</v>
      </c>
      <c r="G19" s="231">
        <v>155.88</v>
      </c>
      <c r="H19" s="44">
        <f t="shared" si="0"/>
        <v>155.88</v>
      </c>
      <c r="I19" s="37">
        <f t="shared" si="1"/>
        <v>0</v>
      </c>
      <c r="J19" s="37">
        <f t="shared" si="2"/>
        <v>18.13</v>
      </c>
      <c r="K19" s="38">
        <f t="shared" si="3"/>
        <v>2826.1</v>
      </c>
      <c r="L19" s="206">
        <f t="shared" si="4"/>
        <v>0</v>
      </c>
      <c r="M19" s="213">
        <f t="shared" si="5"/>
        <v>0</v>
      </c>
      <c r="N19" s="98"/>
      <c r="O19" s="98">
        <f t="shared" si="6"/>
        <v>0</v>
      </c>
      <c r="P19" s="214">
        <f t="shared" si="7"/>
        <v>0</v>
      </c>
      <c r="Q19" s="98"/>
      <c r="R19" s="98">
        <f t="shared" si="8"/>
        <v>0</v>
      </c>
      <c r="S19" s="214">
        <f t="shared" si="9"/>
        <v>0</v>
      </c>
      <c r="T19" s="98"/>
      <c r="U19" s="98">
        <f t="shared" si="10"/>
        <v>0</v>
      </c>
      <c r="V19" s="214">
        <f t="shared" si="11"/>
        <v>0</v>
      </c>
      <c r="W19" s="98"/>
      <c r="X19" s="98">
        <f t="shared" si="12"/>
        <v>0</v>
      </c>
      <c r="Y19" s="214">
        <f t="shared" si="13"/>
        <v>0</v>
      </c>
      <c r="Z19" s="98"/>
      <c r="AA19" s="98">
        <f t="shared" si="14"/>
        <v>0</v>
      </c>
      <c r="AB19" s="214">
        <f t="shared" si="15"/>
        <v>0</v>
      </c>
      <c r="AC19" s="98"/>
      <c r="AD19" s="98">
        <f t="shared" si="16"/>
        <v>0</v>
      </c>
      <c r="AE19" s="214">
        <f t="shared" si="17"/>
        <v>0</v>
      </c>
      <c r="AF19" s="98"/>
      <c r="AG19" s="98">
        <f t="shared" si="18"/>
        <v>0</v>
      </c>
      <c r="AH19" s="214">
        <f t="shared" si="19"/>
        <v>0</v>
      </c>
      <c r="AI19" s="98"/>
      <c r="AJ19" s="98">
        <f t="shared" si="20"/>
        <v>0</v>
      </c>
      <c r="AK19" s="214">
        <f t="shared" si="21"/>
        <v>0</v>
      </c>
      <c r="AL19" s="98"/>
      <c r="AM19" s="98">
        <f t="shared" si="22"/>
        <v>0</v>
      </c>
      <c r="AN19" s="214">
        <f t="shared" si="23"/>
        <v>0</v>
      </c>
      <c r="AO19" s="98"/>
      <c r="AP19" s="98">
        <f t="shared" si="24"/>
        <v>0</v>
      </c>
      <c r="AQ19" s="214">
        <f t="shared" si="25"/>
        <v>0</v>
      </c>
      <c r="AR19" s="98"/>
      <c r="AS19" s="98">
        <f t="shared" si="26"/>
        <v>0</v>
      </c>
      <c r="AT19" s="214">
        <f t="shared" si="27"/>
        <v>0</v>
      </c>
      <c r="AU19" s="98"/>
      <c r="AV19" s="215">
        <f t="shared" si="28"/>
        <v>0</v>
      </c>
      <c r="AW19" s="214">
        <f t="shared" si="29"/>
        <v>0</v>
      </c>
      <c r="AX19" s="98">
        <f t="shared" si="30"/>
        <v>0</v>
      </c>
      <c r="AY19" s="204">
        <f t="shared" si="31"/>
        <v>0</v>
      </c>
      <c r="AZ19" s="214">
        <f t="shared" si="32"/>
        <v>100</v>
      </c>
      <c r="BA19" s="98">
        <f t="shared" si="33"/>
        <v>155.88</v>
      </c>
      <c r="BB19" s="204">
        <f t="shared" si="34"/>
        <v>2826.1</v>
      </c>
    </row>
    <row r="20" spans="1:54" s="3" customFormat="1" ht="28.5" x14ac:dyDescent="0.2">
      <c r="A20" s="57" t="s">
        <v>111</v>
      </c>
      <c r="B20" s="338" t="s">
        <v>317</v>
      </c>
      <c r="C20" s="28" t="s">
        <v>318</v>
      </c>
      <c r="D20" s="50" t="s">
        <v>319</v>
      </c>
      <c r="E20" s="28" t="s">
        <v>98</v>
      </c>
      <c r="F20" s="329">
        <v>3.05</v>
      </c>
      <c r="G20" s="231">
        <v>155.88</v>
      </c>
      <c r="H20" s="44">
        <f t="shared" si="0"/>
        <v>155.88</v>
      </c>
      <c r="I20" s="37">
        <f t="shared" si="1"/>
        <v>0</v>
      </c>
      <c r="J20" s="37">
        <f t="shared" si="2"/>
        <v>3.84</v>
      </c>
      <c r="K20" s="38">
        <f t="shared" si="3"/>
        <v>598.57000000000005</v>
      </c>
      <c r="L20" s="206">
        <f t="shared" si="4"/>
        <v>0</v>
      </c>
      <c r="M20" s="213">
        <f t="shared" si="5"/>
        <v>0</v>
      </c>
      <c r="N20" s="98"/>
      <c r="O20" s="98">
        <f t="shared" si="6"/>
        <v>0</v>
      </c>
      <c r="P20" s="214">
        <f t="shared" si="7"/>
        <v>0</v>
      </c>
      <c r="Q20" s="98"/>
      <c r="R20" s="98">
        <f t="shared" si="8"/>
        <v>0</v>
      </c>
      <c r="S20" s="214">
        <f t="shared" si="9"/>
        <v>0</v>
      </c>
      <c r="T20" s="98"/>
      <c r="U20" s="98">
        <f t="shared" si="10"/>
        <v>0</v>
      </c>
      <c r="V20" s="214">
        <f t="shared" si="11"/>
        <v>0</v>
      </c>
      <c r="W20" s="98"/>
      <c r="X20" s="98">
        <f t="shared" si="12"/>
        <v>0</v>
      </c>
      <c r="Y20" s="214">
        <f t="shared" si="13"/>
        <v>0</v>
      </c>
      <c r="Z20" s="98"/>
      <c r="AA20" s="98">
        <f t="shared" si="14"/>
        <v>0</v>
      </c>
      <c r="AB20" s="214">
        <f t="shared" si="15"/>
        <v>0</v>
      </c>
      <c r="AC20" s="98"/>
      <c r="AD20" s="98">
        <f t="shared" si="16"/>
        <v>0</v>
      </c>
      <c r="AE20" s="214">
        <f t="shared" si="17"/>
        <v>0</v>
      </c>
      <c r="AF20" s="98"/>
      <c r="AG20" s="98">
        <f t="shared" si="18"/>
        <v>0</v>
      </c>
      <c r="AH20" s="214">
        <f t="shared" si="19"/>
        <v>0</v>
      </c>
      <c r="AI20" s="98"/>
      <c r="AJ20" s="98">
        <f t="shared" si="20"/>
        <v>0</v>
      </c>
      <c r="AK20" s="214">
        <f t="shared" si="21"/>
        <v>0</v>
      </c>
      <c r="AL20" s="98"/>
      <c r="AM20" s="98">
        <f t="shared" si="22"/>
        <v>0</v>
      </c>
      <c r="AN20" s="214">
        <f t="shared" si="23"/>
        <v>0</v>
      </c>
      <c r="AO20" s="98"/>
      <c r="AP20" s="98">
        <f t="shared" si="24"/>
        <v>0</v>
      </c>
      <c r="AQ20" s="214">
        <f t="shared" si="25"/>
        <v>0</v>
      </c>
      <c r="AR20" s="98"/>
      <c r="AS20" s="98">
        <f t="shared" si="26"/>
        <v>0</v>
      </c>
      <c r="AT20" s="214">
        <f t="shared" si="27"/>
        <v>0</v>
      </c>
      <c r="AU20" s="98"/>
      <c r="AV20" s="215">
        <f t="shared" si="28"/>
        <v>0</v>
      </c>
      <c r="AW20" s="214">
        <f t="shared" si="29"/>
        <v>0</v>
      </c>
      <c r="AX20" s="98">
        <f t="shared" si="30"/>
        <v>0</v>
      </c>
      <c r="AY20" s="204">
        <f t="shared" si="31"/>
        <v>0</v>
      </c>
      <c r="AZ20" s="214">
        <f t="shared" si="32"/>
        <v>100</v>
      </c>
      <c r="BA20" s="98">
        <f t="shared" si="33"/>
        <v>155.88</v>
      </c>
      <c r="BB20" s="204">
        <f t="shared" si="34"/>
        <v>598.57000000000005</v>
      </c>
    </row>
    <row r="21" spans="1:54" s="3" customFormat="1" ht="15" x14ac:dyDescent="0.2">
      <c r="A21" s="57" t="s">
        <v>115</v>
      </c>
      <c r="B21" s="371" t="s">
        <v>1144</v>
      </c>
      <c r="C21" s="371" t="s">
        <v>1144</v>
      </c>
      <c r="D21" s="349" t="s">
        <v>1145</v>
      </c>
      <c r="E21" s="28" t="s">
        <v>110</v>
      </c>
      <c r="F21" s="339">
        <v>25</v>
      </c>
      <c r="G21" s="231">
        <v>411</v>
      </c>
      <c r="H21" s="44">
        <f t="shared" si="0"/>
        <v>411</v>
      </c>
      <c r="I21" s="37">
        <f t="shared" si="1"/>
        <v>0</v>
      </c>
      <c r="J21" s="37">
        <f t="shared" si="2"/>
        <v>31.45</v>
      </c>
      <c r="K21" s="38">
        <f t="shared" si="3"/>
        <v>12925.95</v>
      </c>
      <c r="L21" s="206">
        <f t="shared" si="4"/>
        <v>0</v>
      </c>
      <c r="M21" s="213">
        <f t="shared" si="5"/>
        <v>0</v>
      </c>
      <c r="N21" s="98"/>
      <c r="O21" s="98">
        <f t="shared" si="6"/>
        <v>0</v>
      </c>
      <c r="P21" s="214">
        <f t="shared" si="7"/>
        <v>0</v>
      </c>
      <c r="Q21" s="98"/>
      <c r="R21" s="98">
        <f t="shared" si="8"/>
        <v>0</v>
      </c>
      <c r="S21" s="214">
        <f t="shared" si="9"/>
        <v>0</v>
      </c>
      <c r="T21" s="98"/>
      <c r="U21" s="98">
        <f t="shared" si="10"/>
        <v>0</v>
      </c>
      <c r="V21" s="214">
        <f t="shared" si="11"/>
        <v>0</v>
      </c>
      <c r="W21" s="98"/>
      <c r="X21" s="98">
        <f t="shared" si="12"/>
        <v>0</v>
      </c>
      <c r="Y21" s="214">
        <f t="shared" si="13"/>
        <v>0</v>
      </c>
      <c r="Z21" s="98"/>
      <c r="AA21" s="98">
        <f t="shared" si="14"/>
        <v>0</v>
      </c>
      <c r="AB21" s="214">
        <f t="shared" si="15"/>
        <v>0</v>
      </c>
      <c r="AC21" s="98"/>
      <c r="AD21" s="98">
        <f t="shared" si="16"/>
        <v>0</v>
      </c>
      <c r="AE21" s="214">
        <f t="shared" si="17"/>
        <v>0</v>
      </c>
      <c r="AF21" s="98"/>
      <c r="AG21" s="98">
        <f t="shared" si="18"/>
        <v>0</v>
      </c>
      <c r="AH21" s="214">
        <f t="shared" si="19"/>
        <v>0</v>
      </c>
      <c r="AI21" s="98"/>
      <c r="AJ21" s="98">
        <f t="shared" si="20"/>
        <v>0</v>
      </c>
      <c r="AK21" s="214">
        <f t="shared" si="21"/>
        <v>0</v>
      </c>
      <c r="AL21" s="98"/>
      <c r="AM21" s="98">
        <f t="shared" si="22"/>
        <v>0</v>
      </c>
      <c r="AN21" s="214">
        <f t="shared" si="23"/>
        <v>0</v>
      </c>
      <c r="AO21" s="98"/>
      <c r="AP21" s="98">
        <f t="shared" si="24"/>
        <v>0</v>
      </c>
      <c r="AQ21" s="214">
        <f t="shared" si="25"/>
        <v>0</v>
      </c>
      <c r="AR21" s="98"/>
      <c r="AS21" s="98">
        <f t="shared" si="26"/>
        <v>0</v>
      </c>
      <c r="AT21" s="214">
        <f t="shared" si="27"/>
        <v>0</v>
      </c>
      <c r="AU21" s="98"/>
      <c r="AV21" s="215">
        <f t="shared" si="28"/>
        <v>0</v>
      </c>
      <c r="AW21" s="214">
        <f t="shared" si="29"/>
        <v>0</v>
      </c>
      <c r="AX21" s="98">
        <f t="shared" si="30"/>
        <v>0</v>
      </c>
      <c r="AY21" s="204">
        <f t="shared" si="31"/>
        <v>0</v>
      </c>
      <c r="AZ21" s="214">
        <f t="shared" si="32"/>
        <v>100</v>
      </c>
      <c r="BA21" s="98">
        <f t="shared" si="33"/>
        <v>411</v>
      </c>
      <c r="BB21" s="204">
        <f t="shared" si="34"/>
        <v>12925.95</v>
      </c>
    </row>
    <row r="22" spans="1:54" s="3" customFormat="1" ht="15" x14ac:dyDescent="0.2">
      <c r="A22" s="34"/>
      <c r="B22" s="45"/>
      <c r="C22" s="45"/>
      <c r="D22" s="41"/>
      <c r="E22" s="45"/>
      <c r="F22" s="37"/>
      <c r="G22" s="37"/>
      <c r="H22" s="642" t="s">
        <v>125</v>
      </c>
      <c r="I22" s="642"/>
      <c r="J22" s="642"/>
      <c r="K22" s="43">
        <f>SUM(K13:K21)</f>
        <v>30986.18</v>
      </c>
      <c r="L22" s="43">
        <f>SUM(L13:L21)</f>
        <v>0</v>
      </c>
      <c r="M22" s="648" t="s">
        <v>125</v>
      </c>
      <c r="N22" s="642"/>
      <c r="O22" s="172">
        <f>SUM(O13:O21)</f>
        <v>0</v>
      </c>
      <c r="P22" s="641" t="s">
        <v>125</v>
      </c>
      <c r="Q22" s="642"/>
      <c r="R22" s="172">
        <f>SUM(R13:R21)</f>
        <v>0</v>
      </c>
      <c r="S22" s="641" t="s">
        <v>125</v>
      </c>
      <c r="T22" s="642"/>
      <c r="U22" s="172">
        <f>SUM(U13:U21)</f>
        <v>0</v>
      </c>
      <c r="V22" s="641" t="s">
        <v>125</v>
      </c>
      <c r="W22" s="642"/>
      <c r="X22" s="172">
        <f>SUM(X13:X21)</f>
        <v>0</v>
      </c>
      <c r="Y22" s="641" t="s">
        <v>125</v>
      </c>
      <c r="Z22" s="642"/>
      <c r="AA22" s="172">
        <f>SUM(AA13:AA21)</f>
        <v>0</v>
      </c>
      <c r="AB22" s="641" t="s">
        <v>125</v>
      </c>
      <c r="AC22" s="642"/>
      <c r="AD22" s="172">
        <f>SUM(AD13:AD21)</f>
        <v>0</v>
      </c>
      <c r="AE22" s="641" t="s">
        <v>125</v>
      </c>
      <c r="AF22" s="642"/>
      <c r="AG22" s="172">
        <f>SUM(AG13:AG21)</f>
        <v>0</v>
      </c>
      <c r="AH22" s="641" t="s">
        <v>125</v>
      </c>
      <c r="AI22" s="642"/>
      <c r="AJ22" s="172">
        <f>SUM(AJ13:AJ21)</f>
        <v>0</v>
      </c>
      <c r="AK22" s="641" t="s">
        <v>125</v>
      </c>
      <c r="AL22" s="642"/>
      <c r="AM22" s="172">
        <f>SUM(AM13:AM21)</f>
        <v>0</v>
      </c>
      <c r="AN22" s="641" t="s">
        <v>125</v>
      </c>
      <c r="AO22" s="642"/>
      <c r="AP22" s="172">
        <f>SUM(AP13:AP21)</f>
        <v>0</v>
      </c>
      <c r="AQ22" s="641" t="s">
        <v>125</v>
      </c>
      <c r="AR22" s="642"/>
      <c r="AS22" s="172">
        <f>SUM(AS13:AS21)</f>
        <v>0</v>
      </c>
      <c r="AT22" s="641" t="s">
        <v>125</v>
      </c>
      <c r="AU22" s="642"/>
      <c r="AV22" s="173">
        <f>SUM(AV13:AV21)</f>
        <v>0</v>
      </c>
      <c r="AW22" s="641" t="s">
        <v>125</v>
      </c>
      <c r="AX22" s="642"/>
      <c r="AY22" s="43">
        <f>SUM(AY13:AY21)</f>
        <v>0</v>
      </c>
      <c r="AZ22" s="641" t="s">
        <v>125</v>
      </c>
      <c r="BA22" s="642"/>
      <c r="BB22" s="43">
        <f>SUM(BB13:BB21)</f>
        <v>30986.18</v>
      </c>
    </row>
    <row r="23" spans="1:54" s="3" customFormat="1" ht="15.75" thickBot="1" x14ac:dyDescent="0.25">
      <c r="A23" s="55"/>
      <c r="B23" s="56"/>
      <c r="C23" s="56"/>
      <c r="D23" s="237" t="str">
        <f>RESUMO!A22</f>
        <v>CUIABÁ - MT, 04 DE NOVEMBRO DE 2022</v>
      </c>
      <c r="E23" s="56"/>
      <c r="F23" s="56"/>
      <c r="G23" s="56"/>
      <c r="H23" s="644" t="s">
        <v>480</v>
      </c>
      <c r="I23" s="644"/>
      <c r="J23" s="644"/>
      <c r="K23" s="238">
        <f>SUM(K12:K22)/2</f>
        <v>30986.18</v>
      </c>
      <c r="L23" s="238">
        <f>SUM(L12:L22)/2</f>
        <v>0</v>
      </c>
      <c r="M23" s="653" t="s">
        <v>480</v>
      </c>
      <c r="N23" s="644"/>
      <c r="O23" s="239">
        <f>SUM(O13:O22)/2</f>
        <v>0</v>
      </c>
      <c r="P23" s="643" t="s">
        <v>480</v>
      </c>
      <c r="Q23" s="644"/>
      <c r="R23" s="239">
        <f>SUM(R13:R22)/2</f>
        <v>0</v>
      </c>
      <c r="S23" s="643" t="s">
        <v>480</v>
      </c>
      <c r="T23" s="644"/>
      <c r="U23" s="239">
        <f>SUM(U13:U22)/2</f>
        <v>0</v>
      </c>
      <c r="V23" s="643" t="s">
        <v>480</v>
      </c>
      <c r="W23" s="644"/>
      <c r="X23" s="239">
        <f>SUM(X13:X22)/2</f>
        <v>0</v>
      </c>
      <c r="Y23" s="643" t="s">
        <v>480</v>
      </c>
      <c r="Z23" s="644"/>
      <c r="AA23" s="239">
        <f>SUM(AA13:AA22)/2</f>
        <v>0</v>
      </c>
      <c r="AB23" s="643" t="s">
        <v>480</v>
      </c>
      <c r="AC23" s="644"/>
      <c r="AD23" s="239">
        <f>SUM(AD13:AD22)/2</f>
        <v>0</v>
      </c>
      <c r="AE23" s="643" t="s">
        <v>480</v>
      </c>
      <c r="AF23" s="644"/>
      <c r="AG23" s="239">
        <f>SUM(AG13:AG22)/2</f>
        <v>0</v>
      </c>
      <c r="AH23" s="643" t="s">
        <v>480</v>
      </c>
      <c r="AI23" s="644"/>
      <c r="AJ23" s="239">
        <f>SUM(AJ13:AJ22)/2</f>
        <v>0</v>
      </c>
      <c r="AK23" s="643" t="s">
        <v>480</v>
      </c>
      <c r="AL23" s="644"/>
      <c r="AM23" s="239">
        <f>SUM(AM13:AM22)/2</f>
        <v>0</v>
      </c>
      <c r="AN23" s="643" t="s">
        <v>480</v>
      </c>
      <c r="AO23" s="644"/>
      <c r="AP23" s="239">
        <f>SUM(AP13:AP22)/2</f>
        <v>0</v>
      </c>
      <c r="AQ23" s="643" t="s">
        <v>480</v>
      </c>
      <c r="AR23" s="644"/>
      <c r="AS23" s="239">
        <f>SUM(AS13:AS22)/2</f>
        <v>0</v>
      </c>
      <c r="AT23" s="643" t="s">
        <v>480</v>
      </c>
      <c r="AU23" s="644"/>
      <c r="AV23" s="240">
        <f>SUM(AV13:AV22)/2</f>
        <v>0</v>
      </c>
      <c r="AW23" s="643" t="s">
        <v>480</v>
      </c>
      <c r="AX23" s="644"/>
      <c r="AY23" s="238">
        <f>SUM(AY13:AY22)/2</f>
        <v>0</v>
      </c>
      <c r="AZ23" s="643" t="s">
        <v>480</v>
      </c>
      <c r="BA23" s="644"/>
      <c r="BB23" s="238">
        <f>SUM(BB13:BB22)/2</f>
        <v>30986.18</v>
      </c>
    </row>
    <row r="24" spans="1:54" ht="14.25" customHeight="1" x14ac:dyDescent="0.2">
      <c r="A24" s="5"/>
      <c r="B24" s="6"/>
      <c r="C24" s="6"/>
      <c r="D24" s="6"/>
      <c r="E24" s="6"/>
      <c r="F24" s="6"/>
      <c r="G24" s="6"/>
      <c r="H24" s="6"/>
      <c r="I24" s="6"/>
      <c r="J24" s="6"/>
      <c r="K24" s="6"/>
      <c r="L24" s="6"/>
      <c r="N24" s="6"/>
      <c r="Q24" s="6"/>
      <c r="T24" s="6"/>
      <c r="W24" s="6"/>
      <c r="Z24" s="6"/>
      <c r="AC24" s="6"/>
      <c r="AF24" s="6"/>
      <c r="AI24" s="6"/>
      <c r="AL24" s="6"/>
      <c r="AO24" s="6"/>
      <c r="AR24" s="6"/>
      <c r="AU24" s="6"/>
    </row>
    <row r="25" spans="1:54" ht="14.25" customHeight="1" x14ac:dyDescent="0.2">
      <c r="A25" s="5"/>
      <c r="B25" s="5"/>
      <c r="C25" s="5"/>
      <c r="D25" s="6"/>
      <c r="E25" s="6"/>
      <c r="F25" s="6"/>
      <c r="G25" s="6"/>
      <c r="H25" s="6"/>
      <c r="I25" s="6"/>
      <c r="J25" s="6"/>
      <c r="K25" s="6"/>
      <c r="L25" s="6"/>
      <c r="N25" s="6"/>
      <c r="Q25" s="6"/>
      <c r="T25" s="6"/>
      <c r="W25" s="6"/>
      <c r="Z25" s="6"/>
      <c r="AC25" s="6"/>
      <c r="AF25" s="6"/>
      <c r="AI25" s="6"/>
      <c r="AL25" s="6"/>
      <c r="AO25" s="6"/>
      <c r="AR25" s="6"/>
      <c r="AU25" s="6"/>
    </row>
    <row r="26" spans="1:54" ht="14.25" customHeight="1" x14ac:dyDescent="0.2">
      <c r="A26" s="5"/>
      <c r="B26" s="5"/>
      <c r="C26" s="5"/>
      <c r="D26" s="6"/>
      <c r="E26" s="6"/>
      <c r="F26" s="6"/>
      <c r="G26" s="6"/>
      <c r="H26" s="6"/>
      <c r="I26" s="6"/>
      <c r="J26" s="6"/>
      <c r="K26" s="6"/>
      <c r="L26" s="6"/>
      <c r="N26" s="6"/>
      <c r="Q26" s="6"/>
      <c r="T26" s="6"/>
      <c r="W26" s="6"/>
      <c r="Z26" s="6"/>
      <c r="AC26" s="6"/>
      <c r="AF26" s="6"/>
      <c r="AI26" s="6"/>
      <c r="AL26" s="6"/>
      <c r="AO26" s="6"/>
      <c r="AR26" s="6"/>
      <c r="AU26" s="6"/>
    </row>
    <row r="27" spans="1:54" ht="14.25" customHeight="1" x14ac:dyDescent="0.2">
      <c r="A27" s="5"/>
      <c r="B27" s="5"/>
      <c r="C27" s="5"/>
      <c r="D27" s="6"/>
      <c r="E27" s="6"/>
      <c r="F27" s="6"/>
      <c r="G27" s="6"/>
      <c r="H27" s="6"/>
      <c r="I27" s="6"/>
      <c r="J27" s="6"/>
      <c r="K27" s="6"/>
      <c r="L27" s="6"/>
      <c r="N27" s="6"/>
      <c r="Q27" s="6"/>
      <c r="T27" s="6"/>
      <c r="W27" s="6"/>
      <c r="Z27" s="6"/>
      <c r="AC27" s="6"/>
      <c r="AF27" s="6"/>
      <c r="AI27" s="6"/>
      <c r="AL27" s="6"/>
      <c r="AO27" s="6"/>
      <c r="AR27" s="6"/>
      <c r="AU27" s="6"/>
      <c r="BB27" s="203"/>
    </row>
    <row r="28" spans="1:54" ht="14.25" customHeight="1" x14ac:dyDescent="0.2">
      <c r="A28" s="5"/>
      <c r="B28" s="5"/>
      <c r="C28" s="5"/>
      <c r="D28" s="6"/>
      <c r="E28" s="6"/>
      <c r="F28" s="6"/>
      <c r="G28" s="6"/>
      <c r="H28" s="6"/>
      <c r="I28" s="6"/>
      <c r="J28" s="6"/>
      <c r="K28" s="403"/>
      <c r="L28" s="6"/>
      <c r="N28" s="6"/>
      <c r="Q28" s="6"/>
      <c r="T28" s="6"/>
      <c r="W28" s="6"/>
      <c r="Z28" s="6"/>
      <c r="AC28" s="6"/>
      <c r="AF28" s="6"/>
      <c r="AI28" s="6"/>
      <c r="AL28" s="6"/>
      <c r="AO28" s="6"/>
      <c r="AR28" s="6"/>
      <c r="AU28" s="6"/>
    </row>
    <row r="29" spans="1:54" ht="14.25" customHeight="1" x14ac:dyDescent="0.2">
      <c r="A29" s="5"/>
      <c r="B29" s="407"/>
      <c r="C29" s="407"/>
      <c r="D29" s="6"/>
      <c r="E29" s="6"/>
      <c r="F29" s="6"/>
      <c r="G29" s="6"/>
      <c r="H29" s="6"/>
      <c r="I29" s="6"/>
      <c r="J29" s="6"/>
      <c r="K29" s="6"/>
      <c r="L29" s="6"/>
      <c r="M29" s="203"/>
      <c r="N29" s="6"/>
      <c r="Q29" s="6"/>
      <c r="T29" s="6"/>
      <c r="W29" s="6"/>
      <c r="Z29" s="6"/>
      <c r="AC29" s="6"/>
      <c r="AF29" s="6"/>
      <c r="AI29" s="6"/>
      <c r="AL29" s="6"/>
      <c r="AO29" s="6"/>
      <c r="AR29" s="6"/>
      <c r="AU29" s="6"/>
    </row>
    <row r="30" spans="1:54" ht="14.25" customHeight="1" x14ac:dyDescent="0.2">
      <c r="A30" s="5"/>
      <c r="B30" s="5"/>
      <c r="C30" s="5">
        <f>14.88+42.3+24.38+5.36+25.3+33.77+25.31+33.8</f>
        <v>205.10000000000002</v>
      </c>
      <c r="D30" s="6"/>
      <c r="E30" s="6"/>
      <c r="F30" s="6"/>
      <c r="G30" s="6"/>
      <c r="H30" s="6"/>
      <c r="I30" s="6"/>
      <c r="J30" s="6"/>
      <c r="K30" s="6"/>
      <c r="L30" s="6"/>
      <c r="N30" s="6"/>
      <c r="Q30" s="6"/>
      <c r="T30" s="6"/>
      <c r="W30" s="6"/>
      <c r="Z30" s="6"/>
      <c r="AC30" s="6"/>
      <c r="AF30" s="6"/>
      <c r="AI30" s="6"/>
      <c r="AL30" s="6"/>
      <c r="AO30" s="6"/>
      <c r="AR30" s="6"/>
      <c r="AU30" s="6"/>
    </row>
    <row r="31" spans="1:54" ht="14.25" customHeight="1" x14ac:dyDescent="0.2">
      <c r="A31" s="5"/>
      <c r="B31" s="5"/>
      <c r="C31" s="5"/>
      <c r="D31" s="6"/>
      <c r="E31" s="6"/>
      <c r="F31" s="6"/>
      <c r="G31" s="6"/>
      <c r="H31" s="6"/>
      <c r="I31" s="6"/>
      <c r="J31" s="6"/>
      <c r="K31" s="6"/>
      <c r="L31" s="6"/>
      <c r="N31" s="6"/>
      <c r="O31" s="203"/>
      <c r="Q31" s="6"/>
      <c r="T31" s="6"/>
      <c r="W31" s="6"/>
      <c r="Z31" s="6"/>
      <c r="AC31" s="6"/>
      <c r="AF31" s="6"/>
      <c r="AI31" s="6"/>
      <c r="AL31" s="6"/>
      <c r="AO31" s="6"/>
      <c r="AR31" s="6"/>
      <c r="AU31" s="6"/>
    </row>
    <row r="32" spans="1:54" ht="14.25" customHeight="1" x14ac:dyDescent="0.2">
      <c r="A32" s="5"/>
      <c r="B32" s="5"/>
      <c r="C32" s="5" t="s">
        <v>1146</v>
      </c>
      <c r="D32" s="6">
        <f>0.54*205.1</f>
        <v>110.754</v>
      </c>
      <c r="E32" s="6"/>
      <c r="F32" s="6">
        <f>205.1/0.5</f>
        <v>410.2</v>
      </c>
      <c r="G32" s="6"/>
      <c r="H32" s="6"/>
      <c r="I32" s="6"/>
      <c r="J32" s="6"/>
      <c r="K32" s="6"/>
      <c r="L32" s="6"/>
      <c r="N32" s="6"/>
      <c r="Q32" s="6"/>
      <c r="T32" s="6"/>
      <c r="W32" s="6"/>
      <c r="Z32" s="6"/>
      <c r="AC32" s="6"/>
      <c r="AF32" s="6"/>
      <c r="AI32" s="6"/>
      <c r="AL32" s="6"/>
      <c r="AO32" s="6"/>
      <c r="AR32" s="6"/>
      <c r="AU32" s="6"/>
    </row>
    <row r="33" spans="1:10" ht="14.25" customHeight="1" x14ac:dyDescent="0.2">
      <c r="A33" s="5"/>
      <c r="B33" s="5"/>
      <c r="C33" s="5" t="s">
        <v>1147</v>
      </c>
      <c r="D33" s="6">
        <f>D32*0.5</f>
        <v>55.377000000000002</v>
      </c>
      <c r="E33" s="6"/>
      <c r="F33" s="6"/>
      <c r="G33" s="6"/>
      <c r="H33" s="6"/>
      <c r="I33" s="6"/>
      <c r="J33" s="6"/>
    </row>
    <row r="34" spans="1:10" ht="14.25" customHeight="1" x14ac:dyDescent="0.2">
      <c r="A34" s="5"/>
      <c r="B34" s="5"/>
      <c r="C34" s="5" t="s">
        <v>1148</v>
      </c>
      <c r="D34" s="6">
        <f>0.54*205.1</f>
        <v>110.754</v>
      </c>
      <c r="E34" s="6"/>
      <c r="F34" s="6"/>
      <c r="G34" s="6"/>
      <c r="H34" s="6"/>
      <c r="I34" s="6"/>
      <c r="J34" s="6"/>
    </row>
    <row r="35" spans="1:10" ht="14.25" customHeight="1" x14ac:dyDescent="0.2">
      <c r="A35" s="5"/>
      <c r="B35" s="5"/>
      <c r="C35" s="5"/>
      <c r="D35" s="6"/>
      <c r="E35" s="6"/>
      <c r="F35" s="6"/>
      <c r="G35" s="6"/>
      <c r="H35" s="6"/>
      <c r="I35" s="6"/>
      <c r="J35" s="6"/>
    </row>
    <row r="36" spans="1:10" ht="14.25" customHeight="1" x14ac:dyDescent="0.2">
      <c r="A36" s="5"/>
      <c r="B36" s="5"/>
      <c r="C36" s="5" t="s">
        <v>1149</v>
      </c>
      <c r="D36" s="6">
        <f>(0.87*0.87*0.12)*4</f>
        <v>0.36331199999999997</v>
      </c>
      <c r="E36" s="6"/>
      <c r="F36" s="6"/>
      <c r="G36" s="6"/>
      <c r="H36" s="6"/>
      <c r="I36" s="6"/>
      <c r="J36" s="6"/>
    </row>
    <row r="37" spans="1:10" ht="14.25" customHeight="1" x14ac:dyDescent="0.2">
      <c r="A37" s="5"/>
      <c r="B37" s="5"/>
      <c r="C37" s="5" t="s">
        <v>1150</v>
      </c>
      <c r="D37" s="6">
        <f>(1*1*0.6)*2</f>
        <v>1.2</v>
      </c>
      <c r="E37" s="6"/>
      <c r="F37" s="6"/>
      <c r="G37" s="6"/>
      <c r="H37" s="6"/>
      <c r="I37" s="6">
        <f>0.8*0.8*0.6</f>
        <v>0.38400000000000006</v>
      </c>
      <c r="J37" s="6">
        <v>295.45</v>
      </c>
    </row>
    <row r="38" spans="1:10" ht="14.25" customHeight="1" x14ac:dyDescent="0.2">
      <c r="A38" s="5"/>
      <c r="B38" s="5"/>
      <c r="C38" s="5"/>
      <c r="D38" s="6">
        <f>D36+D37</f>
        <v>1.5633119999999998</v>
      </c>
      <c r="E38" s="6"/>
      <c r="F38" s="6"/>
      <c r="G38" s="6"/>
      <c r="H38" s="6"/>
      <c r="I38" s="6">
        <f>1*1*0.6</f>
        <v>0.6</v>
      </c>
      <c r="J38" s="6" t="s">
        <v>1151</v>
      </c>
    </row>
    <row r="39" spans="1:10" ht="14.25" customHeight="1" x14ac:dyDescent="0.2">
      <c r="A39" s="5"/>
      <c r="B39" s="5"/>
      <c r="C39" s="5" t="s">
        <v>1152</v>
      </c>
      <c r="D39" s="6">
        <f>2*(0.38*205.1)</f>
        <v>155.876</v>
      </c>
      <c r="E39" s="6"/>
      <c r="F39" s="6"/>
      <c r="G39" s="6"/>
      <c r="H39" s="6"/>
      <c r="I39" s="6"/>
      <c r="J39" s="6"/>
    </row>
    <row r="40" spans="1:10" ht="14.25" customHeight="1" x14ac:dyDescent="0.2">
      <c r="A40" s="5"/>
      <c r="B40" s="5"/>
      <c r="C40" s="5"/>
      <c r="D40" s="6"/>
      <c r="E40" s="6"/>
      <c r="F40" s="6"/>
      <c r="G40" s="6"/>
      <c r="H40" s="6"/>
      <c r="I40" s="6"/>
      <c r="J40" s="6">
        <f>I38*J37</f>
        <v>177.26999999999998</v>
      </c>
    </row>
    <row r="41" spans="1:10" ht="14.25" customHeight="1" x14ac:dyDescent="0.2">
      <c r="A41" s="5"/>
      <c r="B41" s="5"/>
      <c r="C41" s="5"/>
      <c r="D41" s="6"/>
      <c r="E41" s="6"/>
      <c r="F41" s="6"/>
      <c r="G41" s="6"/>
      <c r="H41" s="6"/>
      <c r="I41" s="6"/>
      <c r="J41" s="6">
        <f>J40/I37</f>
        <v>461.64062499999989</v>
      </c>
    </row>
    <row r="42" spans="1:10" ht="14.25" customHeight="1" x14ac:dyDescent="0.2">
      <c r="A42" s="5"/>
      <c r="B42" s="5"/>
      <c r="C42" s="5"/>
      <c r="D42" s="6"/>
      <c r="E42" s="6"/>
      <c r="F42" s="6"/>
      <c r="G42" s="6"/>
      <c r="H42" s="6"/>
      <c r="I42" s="6"/>
      <c r="J42" s="6"/>
    </row>
    <row r="43" spans="1:10" ht="14.25" customHeight="1" x14ac:dyDescent="0.2">
      <c r="A43" s="5"/>
      <c r="B43" s="5"/>
      <c r="C43" s="5"/>
      <c r="D43" s="6"/>
      <c r="E43" s="6"/>
      <c r="F43" s="6"/>
      <c r="G43" s="6"/>
      <c r="H43" s="6"/>
      <c r="I43" s="6"/>
      <c r="J43" s="6"/>
    </row>
    <row r="44" spans="1:10" ht="14.25" customHeight="1" x14ac:dyDescent="0.2">
      <c r="A44" s="5"/>
      <c r="B44" s="5"/>
      <c r="C44" s="5"/>
      <c r="D44" s="6"/>
      <c r="E44" s="6"/>
      <c r="F44" s="6"/>
      <c r="G44" s="6"/>
      <c r="H44" s="6"/>
      <c r="I44" s="6"/>
      <c r="J44" s="6"/>
    </row>
    <row r="45" spans="1:10" ht="14.25" customHeight="1" x14ac:dyDescent="0.2">
      <c r="A45" s="5"/>
      <c r="B45" s="5"/>
      <c r="C45" s="5"/>
      <c r="D45" s="6"/>
      <c r="E45" s="6"/>
      <c r="F45" s="6"/>
      <c r="G45" s="6"/>
      <c r="H45" s="6"/>
      <c r="I45" s="6"/>
      <c r="J45" s="6"/>
    </row>
    <row r="46" spans="1:10" ht="14.25" customHeight="1" x14ac:dyDescent="0.2">
      <c r="A46" s="5"/>
      <c r="B46" s="5"/>
      <c r="C46" s="5"/>
      <c r="D46" s="6"/>
      <c r="E46" s="6"/>
      <c r="F46" s="6"/>
      <c r="G46" s="6"/>
      <c r="H46" s="6"/>
      <c r="I46" s="6"/>
      <c r="J46" s="6"/>
    </row>
    <row r="47" spans="1:10" ht="14.25" customHeight="1" x14ac:dyDescent="0.2">
      <c r="A47" s="5"/>
      <c r="B47" s="5"/>
      <c r="C47" s="5"/>
      <c r="D47" s="6"/>
      <c r="E47" s="6"/>
      <c r="F47" s="6"/>
      <c r="G47" s="6"/>
      <c r="H47" s="6"/>
      <c r="I47" s="6"/>
      <c r="J47" s="6"/>
    </row>
    <row r="48" spans="1:10" ht="14.25" customHeight="1" x14ac:dyDescent="0.2">
      <c r="A48" s="5"/>
      <c r="B48" s="5"/>
      <c r="C48" s="5"/>
      <c r="D48" s="412">
        <f>651+280+300+50+35+500</f>
        <v>1816</v>
      </c>
      <c r="E48" s="6"/>
      <c r="F48" s="6"/>
      <c r="G48" s="6"/>
      <c r="H48" s="6"/>
      <c r="I48" s="6"/>
      <c r="J48" s="6"/>
    </row>
    <row r="49" spans="1:1" ht="14.25" customHeight="1" x14ac:dyDescent="0.2">
      <c r="A49" s="5"/>
    </row>
    <row r="50" spans="1:1" ht="14.25" customHeight="1" x14ac:dyDescent="0.2">
      <c r="A50" s="5"/>
    </row>
    <row r="51" spans="1:1" ht="14.25" customHeight="1" x14ac:dyDescent="0.2">
      <c r="A51" s="5"/>
    </row>
    <row r="52" spans="1:1" ht="14.25" customHeight="1" x14ac:dyDescent="0.2">
      <c r="A52" s="5"/>
    </row>
    <row r="53" spans="1:1" ht="14.25" customHeight="1" x14ac:dyDescent="0.2">
      <c r="A53" s="5"/>
    </row>
    <row r="54" spans="1:1" ht="14.25" customHeight="1" x14ac:dyDescent="0.2">
      <c r="A54" s="5"/>
    </row>
    <row r="55" spans="1:1" ht="14.25" customHeight="1" x14ac:dyDescent="0.2">
      <c r="A55" s="5"/>
    </row>
    <row r="56" spans="1:1" ht="14.25" customHeight="1" x14ac:dyDescent="0.2">
      <c r="A56" s="5"/>
    </row>
    <row r="57" spans="1:1" ht="14.25" customHeight="1" x14ac:dyDescent="0.2">
      <c r="A57" s="5"/>
    </row>
    <row r="58" spans="1:1" ht="14.25" customHeight="1" x14ac:dyDescent="0.2">
      <c r="A58" s="5"/>
    </row>
    <row r="59" spans="1:1" ht="14.25" customHeight="1" x14ac:dyDescent="0.2">
      <c r="A59" s="5"/>
    </row>
    <row r="60" spans="1:1" ht="14.25" customHeight="1" x14ac:dyDescent="0.2">
      <c r="A60" s="5"/>
    </row>
    <row r="61" spans="1:1" ht="14.25" customHeight="1" x14ac:dyDescent="0.2">
      <c r="A61" s="5"/>
    </row>
    <row r="62" spans="1:1" ht="14.25" customHeight="1" x14ac:dyDescent="0.2">
      <c r="A62" s="5"/>
    </row>
    <row r="63" spans="1:1" ht="14.25" customHeight="1" x14ac:dyDescent="0.2">
      <c r="A63" s="5"/>
    </row>
    <row r="64" spans="1:1" ht="14.25" customHeight="1" x14ac:dyDescent="0.2">
      <c r="A64" s="5"/>
    </row>
    <row r="65" spans="1:1" ht="14.25" customHeight="1" x14ac:dyDescent="0.2">
      <c r="A65" s="5"/>
    </row>
    <row r="66" spans="1:1" ht="14.25" customHeight="1" x14ac:dyDescent="0.2">
      <c r="A66" s="5"/>
    </row>
    <row r="67" spans="1:1" ht="14.25" customHeight="1" x14ac:dyDescent="0.2">
      <c r="A67" s="5"/>
    </row>
    <row r="68" spans="1:1" ht="14.25" customHeight="1" x14ac:dyDescent="0.2">
      <c r="A68" s="5"/>
    </row>
    <row r="69" spans="1:1" ht="14.25" customHeight="1" x14ac:dyDescent="0.2">
      <c r="A69" s="5"/>
    </row>
    <row r="70" spans="1:1" ht="14.25" customHeight="1" x14ac:dyDescent="0.2">
      <c r="A70" s="5"/>
    </row>
    <row r="71" spans="1:1" ht="14.25" customHeight="1" x14ac:dyDescent="0.2">
      <c r="A71" s="5"/>
    </row>
    <row r="72" spans="1:1" ht="14.25" customHeight="1" x14ac:dyDescent="0.2">
      <c r="A72" s="5"/>
    </row>
    <row r="73" spans="1:1" ht="14.25" customHeight="1" x14ac:dyDescent="0.2">
      <c r="A73" s="5"/>
    </row>
    <row r="74" spans="1:1" ht="14.25" customHeight="1" x14ac:dyDescent="0.2">
      <c r="A74" s="5"/>
    </row>
    <row r="75" spans="1:1" ht="14.25" customHeight="1" x14ac:dyDescent="0.2">
      <c r="A75" s="5"/>
    </row>
    <row r="76" spans="1:1" ht="14.25" customHeight="1" x14ac:dyDescent="0.2">
      <c r="A76" s="5"/>
    </row>
    <row r="77" spans="1:1" ht="14.25" customHeight="1" x14ac:dyDescent="0.2">
      <c r="A77" s="5"/>
    </row>
    <row r="78" spans="1:1" ht="14.25" customHeight="1" x14ac:dyDescent="0.2">
      <c r="A78" s="5"/>
    </row>
    <row r="79" spans="1:1" ht="14.25" customHeight="1" x14ac:dyDescent="0.2">
      <c r="A79" s="5"/>
    </row>
    <row r="80" spans="1:1" ht="14.25" customHeight="1" x14ac:dyDescent="0.2">
      <c r="A80" s="5"/>
    </row>
    <row r="81" spans="1:1" ht="14.25" customHeight="1" x14ac:dyDescent="0.2">
      <c r="A81" s="5"/>
    </row>
    <row r="82" spans="1:1" ht="14.25" customHeight="1" x14ac:dyDescent="0.2">
      <c r="A82" s="5"/>
    </row>
    <row r="83" spans="1:1" ht="14.25" customHeight="1" x14ac:dyDescent="0.2">
      <c r="A83" s="5"/>
    </row>
    <row r="84" spans="1:1" ht="14.25" customHeight="1" x14ac:dyDescent="0.2">
      <c r="A84" s="5"/>
    </row>
    <row r="85" spans="1:1" ht="14.25" customHeight="1" x14ac:dyDescent="0.2">
      <c r="A85" s="5"/>
    </row>
    <row r="86" spans="1:1" ht="14.25" customHeight="1" x14ac:dyDescent="0.2">
      <c r="A86" s="5"/>
    </row>
    <row r="87" spans="1:1" ht="14.25" customHeight="1" x14ac:dyDescent="0.2">
      <c r="A87" s="5"/>
    </row>
    <row r="88" spans="1:1" ht="14.25" customHeight="1" x14ac:dyDescent="0.2">
      <c r="A88" s="5"/>
    </row>
    <row r="89" spans="1:1" ht="14.25" customHeight="1" x14ac:dyDescent="0.2">
      <c r="A89" s="5"/>
    </row>
    <row r="90" spans="1:1" ht="14.25" customHeight="1" x14ac:dyDescent="0.2">
      <c r="A90" s="5"/>
    </row>
    <row r="91" spans="1:1" ht="14.25" customHeight="1" x14ac:dyDescent="0.2">
      <c r="A91" s="5"/>
    </row>
    <row r="92" spans="1:1" ht="14.25" customHeight="1" x14ac:dyDescent="0.2">
      <c r="A92" s="5"/>
    </row>
    <row r="93" spans="1:1" ht="14.25" customHeight="1" x14ac:dyDescent="0.2">
      <c r="A93" s="5"/>
    </row>
    <row r="94" spans="1:1" ht="14.25" customHeight="1" x14ac:dyDescent="0.2">
      <c r="A94" s="5"/>
    </row>
    <row r="95" spans="1:1" ht="14.25" customHeight="1" x14ac:dyDescent="0.2">
      <c r="A95" s="5"/>
    </row>
    <row r="96" spans="1:1" ht="14.25" customHeight="1" x14ac:dyDescent="0.2">
      <c r="A96" s="5"/>
    </row>
    <row r="97" spans="1:1" ht="14.25" customHeight="1" x14ac:dyDescent="0.2">
      <c r="A97" s="5"/>
    </row>
    <row r="98" spans="1:1" ht="14.25" customHeight="1" x14ac:dyDescent="0.2">
      <c r="A98" s="5"/>
    </row>
    <row r="99" spans="1:1" ht="14.25" customHeight="1" x14ac:dyDescent="0.2">
      <c r="A99" s="5"/>
    </row>
    <row r="100" spans="1:1" ht="14.25" customHeight="1" x14ac:dyDescent="0.2">
      <c r="A100" s="5"/>
    </row>
    <row r="101" spans="1:1" ht="14.25" customHeight="1" x14ac:dyDescent="0.2">
      <c r="A101" s="5"/>
    </row>
    <row r="102" spans="1:1" ht="14.25" customHeight="1" x14ac:dyDescent="0.2">
      <c r="A102" s="5"/>
    </row>
    <row r="103" spans="1:1" ht="14.25" customHeight="1" x14ac:dyDescent="0.2">
      <c r="A103" s="5"/>
    </row>
    <row r="104" spans="1:1" ht="14.25" customHeight="1" x14ac:dyDescent="0.2">
      <c r="A104" s="5"/>
    </row>
    <row r="105" spans="1:1" ht="14.25" customHeight="1" x14ac:dyDescent="0.2">
      <c r="A105" s="5"/>
    </row>
    <row r="106" spans="1:1" ht="14.25" customHeight="1" x14ac:dyDescent="0.2">
      <c r="A106" s="5"/>
    </row>
    <row r="107" spans="1:1" ht="14.25" customHeight="1" x14ac:dyDescent="0.2">
      <c r="A107" s="5"/>
    </row>
    <row r="108" spans="1:1" ht="14.25" customHeight="1" x14ac:dyDescent="0.2">
      <c r="A108" s="5"/>
    </row>
    <row r="109" spans="1:1" ht="14.25" customHeight="1" x14ac:dyDescent="0.2">
      <c r="A109" s="5"/>
    </row>
    <row r="110" spans="1:1" ht="14.25" customHeight="1" x14ac:dyDescent="0.2">
      <c r="A110" s="5"/>
    </row>
    <row r="111" spans="1:1" ht="14.25" customHeight="1" x14ac:dyDescent="0.2">
      <c r="A111" s="5"/>
    </row>
    <row r="112" spans="1:1" ht="14.25" customHeight="1" x14ac:dyDescent="0.2">
      <c r="A112" s="5"/>
    </row>
    <row r="113" spans="1:1" ht="14.25" customHeight="1" x14ac:dyDescent="0.2">
      <c r="A113" s="5"/>
    </row>
    <row r="114" spans="1:1" ht="14.25" customHeight="1" x14ac:dyDescent="0.2">
      <c r="A114" s="5"/>
    </row>
    <row r="115" spans="1:1" ht="14.25" customHeight="1" x14ac:dyDescent="0.2">
      <c r="A115" s="5"/>
    </row>
    <row r="116" spans="1:1" ht="14.25" customHeight="1" x14ac:dyDescent="0.2">
      <c r="A116" s="5"/>
    </row>
    <row r="117" spans="1:1" ht="14.25" customHeight="1" x14ac:dyDescent="0.2">
      <c r="A117" s="5"/>
    </row>
    <row r="118" spans="1:1" ht="14.25" customHeight="1" x14ac:dyDescent="0.2">
      <c r="A118" s="5"/>
    </row>
    <row r="119" spans="1:1" ht="14.25" customHeight="1" x14ac:dyDescent="0.2">
      <c r="A119" s="5"/>
    </row>
    <row r="120" spans="1:1" ht="14.25" customHeight="1" x14ac:dyDescent="0.2">
      <c r="A120" s="5"/>
    </row>
    <row r="121" spans="1:1" ht="14.25" customHeight="1" x14ac:dyDescent="0.2">
      <c r="A121" s="5"/>
    </row>
    <row r="122" spans="1:1" ht="14.25" customHeight="1" x14ac:dyDescent="0.2">
      <c r="A122" s="5"/>
    </row>
    <row r="123" spans="1:1" ht="14.25" customHeight="1" x14ac:dyDescent="0.2">
      <c r="A123" s="5"/>
    </row>
    <row r="124" spans="1:1" ht="14.25" customHeight="1" x14ac:dyDescent="0.2">
      <c r="A124" s="5"/>
    </row>
    <row r="125" spans="1:1" ht="14.25" customHeight="1" x14ac:dyDescent="0.2">
      <c r="A125" s="5"/>
    </row>
    <row r="126" spans="1:1" ht="14.25" customHeight="1" x14ac:dyDescent="0.2">
      <c r="A126" s="5"/>
    </row>
    <row r="127" spans="1:1" ht="14.25" customHeight="1" x14ac:dyDescent="0.2">
      <c r="A127" s="5"/>
    </row>
    <row r="128" spans="1:1" ht="14.25" customHeight="1" x14ac:dyDescent="0.2">
      <c r="A128" s="5"/>
    </row>
    <row r="129" spans="1:1" ht="14.25" customHeight="1" x14ac:dyDescent="0.2">
      <c r="A129" s="5"/>
    </row>
    <row r="130" spans="1:1" ht="14.25" customHeight="1" x14ac:dyDescent="0.2">
      <c r="A130" s="5"/>
    </row>
    <row r="131" spans="1:1" ht="14.25" customHeight="1" x14ac:dyDescent="0.2">
      <c r="A131" s="5"/>
    </row>
    <row r="132" spans="1:1" ht="14.25" customHeight="1" x14ac:dyDescent="0.2">
      <c r="A132" s="5"/>
    </row>
    <row r="133" spans="1:1" ht="14.25" customHeight="1" x14ac:dyDescent="0.2">
      <c r="A133" s="5"/>
    </row>
    <row r="134" spans="1:1" ht="14.25" customHeight="1" x14ac:dyDescent="0.2">
      <c r="A134" s="5"/>
    </row>
    <row r="135" spans="1:1" ht="14.25" customHeight="1" x14ac:dyDescent="0.2">
      <c r="A135" s="5"/>
    </row>
    <row r="136" spans="1:1" ht="14.25" customHeight="1" x14ac:dyDescent="0.2">
      <c r="A136" s="5"/>
    </row>
    <row r="137" spans="1:1" ht="14.25" customHeight="1" x14ac:dyDescent="0.2">
      <c r="A137" s="5"/>
    </row>
    <row r="138" spans="1:1" ht="14.25" customHeight="1" x14ac:dyDescent="0.2">
      <c r="A138" s="5"/>
    </row>
    <row r="139" spans="1:1" ht="14.25" customHeight="1" x14ac:dyDescent="0.2">
      <c r="A139" s="5"/>
    </row>
    <row r="140" spans="1:1" ht="14.25" customHeight="1" x14ac:dyDescent="0.2">
      <c r="A140" s="5"/>
    </row>
    <row r="141" spans="1:1" ht="14.25" customHeight="1" x14ac:dyDescent="0.2">
      <c r="A141" s="5"/>
    </row>
    <row r="142" spans="1:1" ht="14.25" customHeight="1" x14ac:dyDescent="0.2">
      <c r="A142" s="5"/>
    </row>
    <row r="143" spans="1:1" ht="14.25" customHeight="1" x14ac:dyDescent="0.2">
      <c r="A143" s="5"/>
    </row>
    <row r="144" spans="1:1" ht="14.25" customHeight="1" x14ac:dyDescent="0.2">
      <c r="A144" s="5"/>
    </row>
    <row r="145" spans="1:1" ht="14.25" customHeight="1" x14ac:dyDescent="0.2">
      <c r="A145" s="5"/>
    </row>
    <row r="146" spans="1:1" ht="14.25" customHeight="1" x14ac:dyDescent="0.2">
      <c r="A146" s="5"/>
    </row>
    <row r="147" spans="1:1" ht="14.25" customHeight="1" x14ac:dyDescent="0.2">
      <c r="A147" s="5"/>
    </row>
    <row r="148" spans="1:1" ht="14.25" customHeight="1" x14ac:dyDescent="0.2">
      <c r="A148" s="5"/>
    </row>
    <row r="149" spans="1:1" ht="14.25" customHeight="1" x14ac:dyDescent="0.2">
      <c r="A149" s="5"/>
    </row>
    <row r="150" spans="1:1" ht="14.25" customHeight="1" x14ac:dyDescent="0.2">
      <c r="A150" s="5"/>
    </row>
    <row r="151" spans="1:1" ht="14.25" customHeight="1" x14ac:dyDescent="0.2">
      <c r="A151" s="5"/>
    </row>
    <row r="152" spans="1:1" ht="14.25" customHeight="1" x14ac:dyDescent="0.2">
      <c r="A152" s="5"/>
    </row>
    <row r="153" spans="1:1" ht="14.25" customHeight="1" x14ac:dyDescent="0.2">
      <c r="A153" s="5"/>
    </row>
    <row r="154" spans="1:1" ht="14.25" customHeight="1" x14ac:dyDescent="0.2">
      <c r="A154" s="5"/>
    </row>
    <row r="155" spans="1:1" ht="14.25" customHeight="1" x14ac:dyDescent="0.2">
      <c r="A155" s="5"/>
    </row>
    <row r="156" spans="1:1" ht="14.25" customHeight="1" x14ac:dyDescent="0.2">
      <c r="A156" s="5"/>
    </row>
    <row r="157" spans="1:1" ht="14.25" customHeight="1" x14ac:dyDescent="0.2">
      <c r="A157" s="5"/>
    </row>
    <row r="158" spans="1:1" ht="14.25" customHeight="1" x14ac:dyDescent="0.2">
      <c r="A158" s="5"/>
    </row>
    <row r="159" spans="1:1" ht="14.25" customHeight="1" x14ac:dyDescent="0.2">
      <c r="A159" s="5"/>
    </row>
    <row r="160" spans="1:1" ht="14.25" customHeight="1" x14ac:dyDescent="0.2">
      <c r="A160" s="5"/>
    </row>
    <row r="161" spans="1:1" ht="14.25" customHeight="1" x14ac:dyDescent="0.2">
      <c r="A161" s="5"/>
    </row>
    <row r="162" spans="1:1" ht="14.25" customHeight="1" x14ac:dyDescent="0.2">
      <c r="A162" s="5"/>
    </row>
    <row r="163" spans="1:1" ht="14.25" customHeight="1" x14ac:dyDescent="0.2">
      <c r="A163" s="5"/>
    </row>
    <row r="164" spans="1:1" ht="14.25" customHeight="1" x14ac:dyDescent="0.2">
      <c r="A164" s="5"/>
    </row>
    <row r="165" spans="1:1" ht="14.25" customHeight="1" x14ac:dyDescent="0.2">
      <c r="A165" s="5"/>
    </row>
    <row r="166" spans="1:1" ht="14.25" customHeight="1" x14ac:dyDescent="0.2">
      <c r="A166" s="5"/>
    </row>
    <row r="167" spans="1:1" ht="14.25" customHeight="1" x14ac:dyDescent="0.2">
      <c r="A167" s="5"/>
    </row>
    <row r="168" spans="1:1" ht="14.25" customHeight="1" x14ac:dyDescent="0.2">
      <c r="A168" s="5"/>
    </row>
    <row r="169" spans="1:1" ht="14.25" customHeight="1" x14ac:dyDescent="0.2">
      <c r="A169" s="5"/>
    </row>
    <row r="170" spans="1:1" ht="14.25" customHeight="1" x14ac:dyDescent="0.2">
      <c r="A170" s="5"/>
    </row>
    <row r="171" spans="1:1" ht="14.25" customHeight="1" x14ac:dyDescent="0.2">
      <c r="A171" s="5"/>
    </row>
    <row r="172" spans="1:1" ht="14.25" customHeight="1" x14ac:dyDescent="0.2">
      <c r="A172" s="5"/>
    </row>
    <row r="173" spans="1:1" ht="14.25" customHeight="1" x14ac:dyDescent="0.2">
      <c r="A173" s="5"/>
    </row>
    <row r="174" spans="1:1" ht="14.25" customHeight="1" x14ac:dyDescent="0.2">
      <c r="A174" s="5"/>
    </row>
    <row r="175" spans="1:1" ht="14.25" customHeight="1" x14ac:dyDescent="0.2">
      <c r="A175" s="5"/>
    </row>
    <row r="176" spans="1:1" ht="14.25" customHeight="1" x14ac:dyDescent="0.2">
      <c r="A176" s="5"/>
    </row>
    <row r="177" spans="1:1" ht="14.25" customHeight="1" x14ac:dyDescent="0.2">
      <c r="A177" s="5"/>
    </row>
    <row r="178" spans="1:1" ht="14.25" customHeight="1" x14ac:dyDescent="0.2">
      <c r="A178" s="5"/>
    </row>
    <row r="179" spans="1:1" ht="14.25" customHeight="1" x14ac:dyDescent="0.2">
      <c r="A179" s="5"/>
    </row>
    <row r="180" spans="1:1" ht="14.25" customHeight="1" x14ac:dyDescent="0.2">
      <c r="A180" s="5"/>
    </row>
    <row r="181" spans="1:1" ht="14.25" customHeight="1" x14ac:dyDescent="0.2">
      <c r="A181" s="5"/>
    </row>
    <row r="182" spans="1:1" ht="14.25" customHeight="1" x14ac:dyDescent="0.2">
      <c r="A182" s="5"/>
    </row>
    <row r="183" spans="1:1" ht="14.25" customHeight="1" x14ac:dyDescent="0.2">
      <c r="A183" s="5"/>
    </row>
    <row r="184" spans="1:1" ht="14.25" customHeight="1" x14ac:dyDescent="0.2">
      <c r="A184" s="5"/>
    </row>
    <row r="185" spans="1:1" ht="14.25" customHeight="1" x14ac:dyDescent="0.2">
      <c r="A185" s="5"/>
    </row>
    <row r="186" spans="1:1" ht="14.25" customHeight="1" x14ac:dyDescent="0.2">
      <c r="A186" s="5"/>
    </row>
    <row r="187" spans="1:1" ht="14.25" customHeight="1" x14ac:dyDescent="0.2">
      <c r="A187" s="5"/>
    </row>
    <row r="188" spans="1:1" ht="14.25" customHeight="1" x14ac:dyDescent="0.2">
      <c r="A188" s="5"/>
    </row>
    <row r="189" spans="1:1" ht="14.25" customHeight="1" x14ac:dyDescent="0.2">
      <c r="A189" s="5"/>
    </row>
    <row r="190" spans="1:1" ht="14.25" customHeight="1" x14ac:dyDescent="0.2">
      <c r="A190" s="5"/>
    </row>
    <row r="191" spans="1:1" ht="14.25" customHeight="1" x14ac:dyDescent="0.2">
      <c r="A191" s="5"/>
    </row>
    <row r="192" spans="1:1" ht="14.25" customHeight="1" x14ac:dyDescent="0.2">
      <c r="A192" s="5"/>
    </row>
    <row r="193" spans="1:1" ht="14.25" customHeight="1" x14ac:dyDescent="0.2">
      <c r="A193" s="5"/>
    </row>
    <row r="194" spans="1:1" ht="14.25" customHeight="1" x14ac:dyDescent="0.2">
      <c r="A194" s="5"/>
    </row>
    <row r="195" spans="1:1" ht="14.25" customHeight="1" x14ac:dyDescent="0.2">
      <c r="A195" s="5"/>
    </row>
    <row r="196" spans="1:1" ht="14.25" customHeight="1" x14ac:dyDescent="0.2">
      <c r="A196" s="5"/>
    </row>
    <row r="197" spans="1:1" ht="14.25" customHeight="1" x14ac:dyDescent="0.2">
      <c r="A197" s="5"/>
    </row>
    <row r="198" spans="1:1" ht="14.25" customHeight="1" x14ac:dyDescent="0.2">
      <c r="A198" s="5"/>
    </row>
    <row r="199" spans="1:1" ht="14.25" customHeight="1" x14ac:dyDescent="0.2">
      <c r="A199" s="5"/>
    </row>
    <row r="200" spans="1:1" ht="14.25" customHeight="1" x14ac:dyDescent="0.2">
      <c r="A200" s="5"/>
    </row>
    <row r="201" spans="1:1" ht="14.25" customHeight="1" x14ac:dyDescent="0.2">
      <c r="A201" s="5"/>
    </row>
    <row r="202" spans="1:1" ht="14.25" customHeight="1" x14ac:dyDescent="0.2">
      <c r="A202" s="5"/>
    </row>
    <row r="203" spans="1:1" ht="14.25" customHeight="1" x14ac:dyDescent="0.2">
      <c r="A203" s="5"/>
    </row>
    <row r="204" spans="1:1" ht="14.25" customHeight="1" x14ac:dyDescent="0.2">
      <c r="A204" s="5"/>
    </row>
    <row r="205" spans="1:1" ht="14.25" customHeight="1" x14ac:dyDescent="0.2">
      <c r="A205" s="5"/>
    </row>
    <row r="206" spans="1:1" ht="14.25" customHeight="1" x14ac:dyDescent="0.2">
      <c r="A206" s="5"/>
    </row>
    <row r="207" spans="1:1" ht="14.25" customHeight="1" x14ac:dyDescent="0.2">
      <c r="A207" s="5"/>
    </row>
    <row r="208" spans="1:1" ht="14.25" customHeight="1" x14ac:dyDescent="0.2">
      <c r="A208" s="5"/>
    </row>
    <row r="209" spans="1:1" ht="14.25" customHeight="1" x14ac:dyDescent="0.2">
      <c r="A209" s="5"/>
    </row>
    <row r="210" spans="1:1" ht="14.25" customHeight="1" x14ac:dyDescent="0.2">
      <c r="A210" s="5"/>
    </row>
    <row r="211" spans="1:1" ht="14.25" customHeight="1" x14ac:dyDescent="0.2">
      <c r="A211" s="5"/>
    </row>
    <row r="212" spans="1:1" ht="14.25" customHeight="1" x14ac:dyDescent="0.2">
      <c r="A212" s="5"/>
    </row>
    <row r="213" spans="1:1" ht="14.25" customHeight="1" x14ac:dyDescent="0.2">
      <c r="A213" s="5"/>
    </row>
    <row r="214" spans="1:1" ht="14.25" customHeight="1" x14ac:dyDescent="0.2">
      <c r="A214" s="5"/>
    </row>
    <row r="215" spans="1:1" ht="14.25" customHeight="1" x14ac:dyDescent="0.2">
      <c r="A215" s="5"/>
    </row>
    <row r="216" spans="1:1" ht="14.25" customHeight="1" x14ac:dyDescent="0.2">
      <c r="A216" s="5"/>
    </row>
    <row r="217" spans="1:1" ht="14.25" customHeight="1" x14ac:dyDescent="0.2">
      <c r="A217" s="5"/>
    </row>
    <row r="218" spans="1:1" ht="14.25" customHeight="1" x14ac:dyDescent="0.2">
      <c r="A218" s="5"/>
    </row>
    <row r="219" spans="1:1" ht="14.25" customHeight="1" x14ac:dyDescent="0.2">
      <c r="A219" s="5"/>
    </row>
    <row r="220" spans="1:1" ht="14.25" customHeight="1" x14ac:dyDescent="0.2">
      <c r="A220" s="5"/>
    </row>
    <row r="221" spans="1:1" ht="14.25" customHeight="1" x14ac:dyDescent="0.2">
      <c r="A221" s="5"/>
    </row>
    <row r="222" spans="1:1" ht="14.25" customHeight="1" x14ac:dyDescent="0.2">
      <c r="A222" s="5"/>
    </row>
    <row r="223" spans="1:1" ht="14.25" customHeight="1" x14ac:dyDescent="0.2">
      <c r="A223" s="5"/>
    </row>
    <row r="224" spans="1:1" ht="14.25" customHeight="1" x14ac:dyDescent="0.2">
      <c r="A224" s="5"/>
    </row>
    <row r="225" spans="1:1" ht="14.25" customHeight="1" x14ac:dyDescent="0.2">
      <c r="A225" s="5"/>
    </row>
    <row r="226" spans="1:1" ht="14.25" customHeight="1" x14ac:dyDescent="0.2">
      <c r="A226" s="5"/>
    </row>
    <row r="227" spans="1:1" ht="14.25" customHeight="1" x14ac:dyDescent="0.2">
      <c r="A227" s="5"/>
    </row>
    <row r="228" spans="1:1" ht="14.25" customHeight="1" x14ac:dyDescent="0.2">
      <c r="A228" s="5"/>
    </row>
    <row r="229" spans="1:1" ht="14.25" customHeight="1" x14ac:dyDescent="0.2">
      <c r="A229" s="5"/>
    </row>
    <row r="230" spans="1:1" ht="14.25" customHeight="1" x14ac:dyDescent="0.2">
      <c r="A230" s="5"/>
    </row>
    <row r="231" spans="1:1" ht="14.25" customHeight="1" x14ac:dyDescent="0.2">
      <c r="A231" s="5"/>
    </row>
    <row r="232" spans="1:1" ht="14.25" customHeight="1" x14ac:dyDescent="0.2">
      <c r="A232" s="5"/>
    </row>
    <row r="233" spans="1:1" ht="14.25" customHeight="1" x14ac:dyDescent="0.2">
      <c r="A233" s="5"/>
    </row>
    <row r="234" spans="1:1" ht="14.25" customHeight="1" x14ac:dyDescent="0.2">
      <c r="A234" s="5"/>
    </row>
    <row r="235" spans="1:1" ht="14.25" customHeight="1" x14ac:dyDescent="0.2">
      <c r="A235" s="5"/>
    </row>
    <row r="236" spans="1:1" ht="14.25" customHeight="1" x14ac:dyDescent="0.2">
      <c r="A236" s="5"/>
    </row>
    <row r="237" spans="1:1" ht="14.25" customHeight="1" x14ac:dyDescent="0.2">
      <c r="A237" s="5"/>
    </row>
    <row r="238" spans="1:1" ht="14.25" customHeight="1" x14ac:dyDescent="0.2">
      <c r="A238" s="5"/>
    </row>
    <row r="239" spans="1:1" ht="14.25" customHeight="1" x14ac:dyDescent="0.2">
      <c r="A239" s="5"/>
    </row>
    <row r="240" spans="1:1" ht="14.25" customHeight="1" x14ac:dyDescent="0.2">
      <c r="A240" s="5"/>
    </row>
    <row r="241" spans="1:1" ht="14.25" customHeight="1" x14ac:dyDescent="0.2">
      <c r="A241" s="5"/>
    </row>
    <row r="242" spans="1:1" ht="14.25" customHeight="1" x14ac:dyDescent="0.2">
      <c r="A242" s="5"/>
    </row>
    <row r="243" spans="1:1" ht="14.25" customHeight="1" x14ac:dyDescent="0.2">
      <c r="A243" s="5"/>
    </row>
    <row r="244" spans="1:1" ht="14.25" customHeight="1" x14ac:dyDescent="0.2">
      <c r="A244" s="5"/>
    </row>
    <row r="245" spans="1:1" ht="14.25" customHeight="1" x14ac:dyDescent="0.2">
      <c r="A245" s="5"/>
    </row>
    <row r="246" spans="1:1" ht="14.25" customHeight="1" x14ac:dyDescent="0.2">
      <c r="A246" s="5"/>
    </row>
    <row r="247" spans="1:1" ht="14.25" customHeight="1" x14ac:dyDescent="0.2">
      <c r="A247" s="5"/>
    </row>
    <row r="248" spans="1:1" ht="14.25" customHeight="1" x14ac:dyDescent="0.2">
      <c r="A248" s="5"/>
    </row>
    <row r="249" spans="1:1" ht="14.25" customHeight="1" x14ac:dyDescent="0.2">
      <c r="A249" s="5"/>
    </row>
    <row r="250" spans="1:1" ht="14.25" customHeight="1" x14ac:dyDescent="0.2">
      <c r="A250" s="5"/>
    </row>
    <row r="251" spans="1:1" ht="14.25" customHeight="1" x14ac:dyDescent="0.2">
      <c r="A251" s="5"/>
    </row>
    <row r="252" spans="1:1" ht="14.25" customHeight="1" x14ac:dyDescent="0.2">
      <c r="A252" s="5"/>
    </row>
    <row r="253" spans="1:1" ht="14.25" customHeight="1" x14ac:dyDescent="0.2">
      <c r="A253" s="5"/>
    </row>
    <row r="254" spans="1:1" ht="14.25" customHeight="1" x14ac:dyDescent="0.2">
      <c r="A254" s="5"/>
    </row>
    <row r="255" spans="1:1" ht="14.25" customHeight="1" x14ac:dyDescent="0.2">
      <c r="A255" s="5"/>
    </row>
    <row r="256" spans="1:1" ht="14.25" customHeight="1" x14ac:dyDescent="0.2">
      <c r="A256" s="5"/>
    </row>
    <row r="257" spans="1:1" ht="14.25" customHeight="1" x14ac:dyDescent="0.2">
      <c r="A257" s="5"/>
    </row>
    <row r="258" spans="1:1" ht="14.25" customHeight="1" x14ac:dyDescent="0.2">
      <c r="A258" s="5"/>
    </row>
    <row r="259" spans="1:1" ht="14.25" customHeight="1" x14ac:dyDescent="0.2">
      <c r="A259" s="5"/>
    </row>
    <row r="260" spans="1:1" ht="14.25" customHeight="1" x14ac:dyDescent="0.2">
      <c r="A260" s="5"/>
    </row>
    <row r="261" spans="1:1" ht="14.25" customHeight="1" x14ac:dyDescent="0.2">
      <c r="A261" s="5"/>
    </row>
    <row r="262" spans="1:1" ht="14.25" customHeight="1" x14ac:dyDescent="0.2">
      <c r="A262" s="5"/>
    </row>
    <row r="263" spans="1:1" ht="14.25" customHeight="1" x14ac:dyDescent="0.2">
      <c r="A263" s="5"/>
    </row>
    <row r="264" spans="1:1" ht="14.25" customHeight="1" x14ac:dyDescent="0.2">
      <c r="A264" s="5"/>
    </row>
    <row r="265" spans="1:1" ht="14.25" customHeight="1" x14ac:dyDescent="0.2">
      <c r="A265" s="5"/>
    </row>
    <row r="266" spans="1:1" ht="14.25" customHeight="1" x14ac:dyDescent="0.2">
      <c r="A266" s="5"/>
    </row>
    <row r="267" spans="1:1" ht="14.25" customHeight="1" x14ac:dyDescent="0.2">
      <c r="A267" s="5"/>
    </row>
    <row r="268" spans="1:1" ht="14.25" customHeight="1" x14ac:dyDescent="0.2">
      <c r="A268" s="5"/>
    </row>
    <row r="269" spans="1:1" ht="14.25" customHeight="1" x14ac:dyDescent="0.2">
      <c r="A269" s="5"/>
    </row>
    <row r="270" spans="1:1" ht="14.25" customHeight="1" x14ac:dyDescent="0.2">
      <c r="A270" s="5"/>
    </row>
    <row r="271" spans="1:1" ht="14.25" customHeight="1" x14ac:dyDescent="0.2">
      <c r="A271" s="5"/>
    </row>
    <row r="272" spans="1:1" ht="14.25" customHeight="1" x14ac:dyDescent="0.2">
      <c r="A272" s="5"/>
    </row>
    <row r="273" spans="1:1" ht="14.25" customHeight="1" x14ac:dyDescent="0.2">
      <c r="A273" s="5"/>
    </row>
    <row r="274" spans="1:1" ht="14.25" customHeight="1" x14ac:dyDescent="0.2">
      <c r="A274" s="5"/>
    </row>
    <row r="275" spans="1:1" ht="14.25" customHeight="1" x14ac:dyDescent="0.2">
      <c r="A275" s="5"/>
    </row>
    <row r="276" spans="1:1" ht="14.25" customHeight="1" x14ac:dyDescent="0.2">
      <c r="A276" s="5"/>
    </row>
    <row r="277" spans="1:1" ht="14.25" customHeight="1" x14ac:dyDescent="0.2">
      <c r="A277" s="5"/>
    </row>
    <row r="278" spans="1:1" ht="14.25" customHeight="1" x14ac:dyDescent="0.2">
      <c r="A278" s="5"/>
    </row>
    <row r="279" spans="1:1" ht="14.25" customHeight="1" x14ac:dyDescent="0.2">
      <c r="A279" s="5"/>
    </row>
    <row r="280" spans="1:1" ht="14.25" customHeight="1" x14ac:dyDescent="0.2">
      <c r="A280" s="5"/>
    </row>
    <row r="281" spans="1:1" ht="14.25" customHeight="1" x14ac:dyDescent="0.2">
      <c r="A281" s="5"/>
    </row>
    <row r="282" spans="1:1" ht="14.25" customHeight="1" x14ac:dyDescent="0.2">
      <c r="A282" s="5"/>
    </row>
    <row r="283" spans="1:1" ht="14.25" customHeight="1" x14ac:dyDescent="0.2">
      <c r="A283" s="5"/>
    </row>
    <row r="284" spans="1:1" ht="14.25" customHeight="1" x14ac:dyDescent="0.2">
      <c r="A284" s="5"/>
    </row>
    <row r="285" spans="1:1" ht="14.25" customHeight="1" x14ac:dyDescent="0.2">
      <c r="A285" s="5"/>
    </row>
    <row r="286" spans="1:1" ht="14.25" customHeight="1" x14ac:dyDescent="0.2">
      <c r="A286" s="5"/>
    </row>
    <row r="287" spans="1:1" ht="14.25" customHeight="1" x14ac:dyDescent="0.2">
      <c r="A287" s="5"/>
    </row>
    <row r="288" spans="1:1" ht="14.25" customHeight="1" x14ac:dyDescent="0.2">
      <c r="A288" s="5"/>
    </row>
    <row r="289" spans="1:1" ht="14.25" customHeight="1" x14ac:dyDescent="0.2">
      <c r="A289" s="5"/>
    </row>
    <row r="290" spans="1:1" ht="14.25" customHeight="1" x14ac:dyDescent="0.2">
      <c r="A290" s="5"/>
    </row>
    <row r="291" spans="1:1" ht="14.25" customHeight="1" x14ac:dyDescent="0.2">
      <c r="A291" s="5"/>
    </row>
    <row r="292" spans="1:1" ht="14.25" customHeight="1" x14ac:dyDescent="0.2">
      <c r="A292" s="5"/>
    </row>
    <row r="293" spans="1:1" ht="14.25" customHeight="1" x14ac:dyDescent="0.2">
      <c r="A293" s="5"/>
    </row>
    <row r="294" spans="1:1" ht="14.25" customHeight="1" x14ac:dyDescent="0.2">
      <c r="A294" s="5"/>
    </row>
    <row r="295" spans="1:1" ht="14.25" customHeight="1" x14ac:dyDescent="0.2">
      <c r="A295" s="5"/>
    </row>
    <row r="296" spans="1:1" ht="14.25" customHeight="1" x14ac:dyDescent="0.2">
      <c r="A296" s="5"/>
    </row>
    <row r="297" spans="1:1" ht="14.25" customHeight="1" x14ac:dyDescent="0.2">
      <c r="A297" s="5"/>
    </row>
    <row r="298" spans="1:1" ht="14.25" customHeight="1" x14ac:dyDescent="0.2">
      <c r="A298" s="5"/>
    </row>
    <row r="299" spans="1:1" ht="14.25" customHeight="1" x14ac:dyDescent="0.2">
      <c r="A299" s="5"/>
    </row>
    <row r="300" spans="1:1" ht="14.25" customHeight="1" x14ac:dyDescent="0.2">
      <c r="A300" s="5"/>
    </row>
    <row r="301" spans="1:1" ht="14.25" customHeight="1" x14ac:dyDescent="0.2">
      <c r="A301" s="5"/>
    </row>
    <row r="302" spans="1:1" ht="14.25" customHeight="1" x14ac:dyDescent="0.2">
      <c r="A302" s="5"/>
    </row>
    <row r="303" spans="1:1" ht="14.25" customHeight="1" x14ac:dyDescent="0.2">
      <c r="A303" s="5"/>
    </row>
    <row r="304" spans="1:1" ht="14.25" customHeight="1" x14ac:dyDescent="0.2">
      <c r="A304" s="5"/>
    </row>
    <row r="305" spans="1:1" ht="14.25" customHeight="1" x14ac:dyDescent="0.2">
      <c r="A305" s="5"/>
    </row>
    <row r="306" spans="1:1" ht="14.25" customHeight="1" x14ac:dyDescent="0.2">
      <c r="A306" s="5"/>
    </row>
    <row r="307" spans="1:1" ht="14.25" customHeight="1" x14ac:dyDescent="0.2">
      <c r="A307" s="5"/>
    </row>
    <row r="308" spans="1:1" ht="14.25" customHeight="1" x14ac:dyDescent="0.2">
      <c r="A308" s="5"/>
    </row>
    <row r="309" spans="1:1" ht="14.25" customHeight="1" x14ac:dyDescent="0.2">
      <c r="A309" s="5"/>
    </row>
    <row r="310" spans="1:1" ht="14.25" customHeight="1" x14ac:dyDescent="0.2">
      <c r="A310" s="5"/>
    </row>
    <row r="311" spans="1:1" ht="14.25" customHeight="1" x14ac:dyDescent="0.2">
      <c r="A311" s="5"/>
    </row>
    <row r="312" spans="1:1" ht="14.25" customHeight="1" x14ac:dyDescent="0.2">
      <c r="A312" s="5"/>
    </row>
    <row r="313" spans="1:1" ht="14.25" customHeight="1" x14ac:dyDescent="0.2">
      <c r="A313" s="5"/>
    </row>
    <row r="314" spans="1:1" ht="14.25" customHeight="1" x14ac:dyDescent="0.2">
      <c r="A314" s="5"/>
    </row>
    <row r="315" spans="1:1" ht="14.25" customHeight="1" x14ac:dyDescent="0.2">
      <c r="A315" s="5"/>
    </row>
    <row r="316" spans="1:1" ht="14.25" customHeight="1" x14ac:dyDescent="0.2">
      <c r="A316" s="5"/>
    </row>
    <row r="317" spans="1:1" ht="14.25" customHeight="1" x14ac:dyDescent="0.2">
      <c r="A317" s="5"/>
    </row>
    <row r="318" spans="1:1" ht="14.25" customHeight="1" x14ac:dyDescent="0.2">
      <c r="A318" s="5"/>
    </row>
    <row r="319" spans="1:1" ht="14.25" customHeight="1" x14ac:dyDescent="0.2">
      <c r="A319" s="5"/>
    </row>
    <row r="320" spans="1:1" ht="14.25" customHeight="1" x14ac:dyDescent="0.2">
      <c r="A320" s="5"/>
    </row>
    <row r="321" spans="1:1" ht="14.25" customHeight="1" x14ac:dyDescent="0.2">
      <c r="A321" s="5"/>
    </row>
    <row r="322" spans="1:1" ht="14.25" customHeight="1" x14ac:dyDescent="0.2">
      <c r="A322" s="5"/>
    </row>
    <row r="323" spans="1:1" ht="14.25" customHeight="1" x14ac:dyDescent="0.2">
      <c r="A323" s="5"/>
    </row>
    <row r="324" spans="1:1" ht="14.25" customHeight="1" x14ac:dyDescent="0.2">
      <c r="A324" s="5"/>
    </row>
    <row r="325" spans="1:1" ht="14.25" customHeight="1" x14ac:dyDescent="0.2">
      <c r="A325" s="5"/>
    </row>
    <row r="326" spans="1:1" ht="14.25" customHeight="1" x14ac:dyDescent="0.2">
      <c r="A326" s="5"/>
    </row>
    <row r="327" spans="1:1" ht="14.25" customHeight="1" x14ac:dyDescent="0.2">
      <c r="A327" s="5"/>
    </row>
    <row r="328" spans="1:1" ht="14.25" customHeight="1" x14ac:dyDescent="0.2">
      <c r="A328" s="5"/>
    </row>
    <row r="329" spans="1:1" ht="14.25" customHeight="1" x14ac:dyDescent="0.2">
      <c r="A329" s="5"/>
    </row>
    <row r="330" spans="1:1" ht="14.25" customHeight="1" x14ac:dyDescent="0.2">
      <c r="A330" s="5"/>
    </row>
    <row r="331" spans="1:1" ht="14.25" customHeight="1" x14ac:dyDescent="0.2">
      <c r="A331" s="5"/>
    </row>
    <row r="332" spans="1:1" ht="14.25" customHeight="1" x14ac:dyDescent="0.2">
      <c r="A332" s="5"/>
    </row>
    <row r="333" spans="1:1" ht="14.25" customHeight="1" x14ac:dyDescent="0.2">
      <c r="A333" s="5"/>
    </row>
    <row r="334" spans="1:1" ht="14.25" customHeight="1" x14ac:dyDescent="0.2">
      <c r="A334" s="5"/>
    </row>
    <row r="335" spans="1:1" ht="14.25" customHeight="1" x14ac:dyDescent="0.2">
      <c r="A335" s="5"/>
    </row>
    <row r="336" spans="1:1" ht="14.25" customHeight="1" x14ac:dyDescent="0.2">
      <c r="A336" s="5"/>
    </row>
    <row r="337" spans="1:1" ht="14.25" customHeight="1" x14ac:dyDescent="0.2">
      <c r="A337" s="5"/>
    </row>
    <row r="338" spans="1:1" ht="14.25" customHeight="1" x14ac:dyDescent="0.2">
      <c r="A338" s="5"/>
    </row>
    <row r="339" spans="1:1" ht="14.25" customHeight="1" x14ac:dyDescent="0.2">
      <c r="A339" s="5"/>
    </row>
    <row r="340" spans="1:1" ht="14.25" customHeight="1" x14ac:dyDescent="0.2">
      <c r="A340" s="5"/>
    </row>
    <row r="341" spans="1:1" ht="14.25" customHeight="1" x14ac:dyDescent="0.2">
      <c r="A341" s="5"/>
    </row>
    <row r="342" spans="1:1" ht="14.25" customHeight="1" x14ac:dyDescent="0.2">
      <c r="A342" s="5"/>
    </row>
    <row r="343" spans="1:1" ht="14.25" customHeight="1" x14ac:dyDescent="0.2">
      <c r="A343" s="5"/>
    </row>
    <row r="344" spans="1:1" ht="14.25" customHeight="1" x14ac:dyDescent="0.2">
      <c r="A344" s="5"/>
    </row>
    <row r="345" spans="1:1" ht="14.25" customHeight="1" x14ac:dyDescent="0.2">
      <c r="A345" s="5"/>
    </row>
    <row r="346" spans="1:1" ht="14.25" customHeight="1" x14ac:dyDescent="0.2">
      <c r="A346" s="5"/>
    </row>
    <row r="347" spans="1:1" ht="14.25" customHeight="1" x14ac:dyDescent="0.2">
      <c r="A347" s="5"/>
    </row>
    <row r="348" spans="1:1" ht="14.25" customHeight="1" x14ac:dyDescent="0.2">
      <c r="A348" s="5"/>
    </row>
    <row r="349" spans="1:1" ht="14.25" customHeight="1" x14ac:dyDescent="0.2">
      <c r="A349" s="5"/>
    </row>
    <row r="350" spans="1:1" ht="14.25" customHeight="1" x14ac:dyDescent="0.2">
      <c r="A350" s="5"/>
    </row>
    <row r="351" spans="1:1" ht="14.25" customHeight="1" x14ac:dyDescent="0.2">
      <c r="A351" s="5"/>
    </row>
    <row r="352" spans="1:1" ht="14.25" customHeight="1" x14ac:dyDescent="0.2">
      <c r="A352" s="5"/>
    </row>
    <row r="353" spans="1:1" ht="14.25" customHeight="1" x14ac:dyDescent="0.2">
      <c r="A353" s="5"/>
    </row>
    <row r="354" spans="1:1" ht="14.25" customHeight="1" x14ac:dyDescent="0.2">
      <c r="A354" s="5"/>
    </row>
    <row r="355" spans="1:1" ht="14.25" customHeight="1" x14ac:dyDescent="0.2">
      <c r="A355" s="5"/>
    </row>
    <row r="356" spans="1:1" ht="14.25" customHeight="1" x14ac:dyDescent="0.2">
      <c r="A356" s="5"/>
    </row>
    <row r="357" spans="1:1" ht="14.25" customHeight="1" x14ac:dyDescent="0.2">
      <c r="A357" s="5"/>
    </row>
    <row r="358" spans="1:1" ht="14.25" customHeight="1" x14ac:dyDescent="0.2">
      <c r="A358" s="5"/>
    </row>
    <row r="359" spans="1:1" ht="14.25" customHeight="1" x14ac:dyDescent="0.2">
      <c r="A359" s="5"/>
    </row>
    <row r="360" spans="1:1" ht="14.25" customHeight="1" x14ac:dyDescent="0.2">
      <c r="A360" s="5"/>
    </row>
    <row r="361" spans="1:1" ht="14.25" customHeight="1" x14ac:dyDescent="0.2">
      <c r="A361" s="5"/>
    </row>
    <row r="362" spans="1:1" ht="14.25" customHeight="1" x14ac:dyDescent="0.2">
      <c r="A362" s="5"/>
    </row>
    <row r="363" spans="1:1" ht="14.25" customHeight="1" x14ac:dyDescent="0.2">
      <c r="A363" s="5"/>
    </row>
    <row r="364" spans="1:1" ht="14.25" customHeight="1" x14ac:dyDescent="0.2">
      <c r="A364" s="5"/>
    </row>
    <row r="365" spans="1:1" ht="14.25" customHeight="1" x14ac:dyDescent="0.2">
      <c r="A365" s="5"/>
    </row>
    <row r="366" spans="1:1" ht="14.25" customHeight="1" x14ac:dyDescent="0.2">
      <c r="A366" s="5"/>
    </row>
    <row r="367" spans="1:1" ht="14.25" customHeight="1" x14ac:dyDescent="0.2">
      <c r="A367" s="5"/>
    </row>
    <row r="368" spans="1:1" ht="14.25" customHeight="1" x14ac:dyDescent="0.2">
      <c r="A368" s="5"/>
    </row>
    <row r="369" spans="1:1" ht="14.25" customHeight="1" x14ac:dyDescent="0.2">
      <c r="A369" s="5"/>
    </row>
    <row r="370" spans="1:1" ht="14.25" customHeight="1" x14ac:dyDescent="0.2">
      <c r="A370" s="5"/>
    </row>
    <row r="371" spans="1:1" ht="14.25" customHeight="1" x14ac:dyDescent="0.2">
      <c r="A371" s="5"/>
    </row>
    <row r="372" spans="1:1" ht="14.25" customHeight="1" x14ac:dyDescent="0.2">
      <c r="A372" s="5"/>
    </row>
    <row r="373" spans="1:1" ht="14.25" customHeight="1" x14ac:dyDescent="0.2">
      <c r="A373" s="5"/>
    </row>
    <row r="374" spans="1:1" ht="14.25" customHeight="1" x14ac:dyDescent="0.2">
      <c r="A374" s="5"/>
    </row>
    <row r="375" spans="1:1" ht="14.25" customHeight="1" x14ac:dyDescent="0.2">
      <c r="A375" s="5"/>
    </row>
    <row r="376" spans="1:1" ht="14.25" customHeight="1" x14ac:dyDescent="0.2">
      <c r="A376" s="5"/>
    </row>
    <row r="377" spans="1:1" ht="14.25" customHeight="1" x14ac:dyDescent="0.2">
      <c r="A377" s="5"/>
    </row>
    <row r="378" spans="1:1" ht="14.25" customHeight="1" x14ac:dyDescent="0.2">
      <c r="A378" s="5"/>
    </row>
    <row r="379" spans="1:1" ht="14.25" customHeight="1" x14ac:dyDescent="0.2">
      <c r="A379" s="5"/>
    </row>
    <row r="380" spans="1:1" ht="14.25" customHeight="1" x14ac:dyDescent="0.2">
      <c r="A380" s="5"/>
    </row>
    <row r="381" spans="1:1" ht="14.25" customHeight="1" x14ac:dyDescent="0.2">
      <c r="A381" s="5"/>
    </row>
    <row r="382" spans="1:1" ht="14.25" customHeight="1" x14ac:dyDescent="0.2">
      <c r="A382" s="5"/>
    </row>
    <row r="383" spans="1:1" ht="14.25" customHeight="1" x14ac:dyDescent="0.2">
      <c r="A383" s="5"/>
    </row>
    <row r="384" spans="1:1" ht="14.25" customHeight="1" x14ac:dyDescent="0.2">
      <c r="A384" s="5"/>
    </row>
    <row r="385" spans="1:1" ht="14.25" customHeight="1" x14ac:dyDescent="0.2">
      <c r="A385" s="5"/>
    </row>
    <row r="386" spans="1:1" ht="14.25" customHeight="1" x14ac:dyDescent="0.2">
      <c r="A386" s="5"/>
    </row>
    <row r="387" spans="1:1" ht="14.25" customHeight="1" x14ac:dyDescent="0.2">
      <c r="A387" s="5"/>
    </row>
    <row r="388" spans="1:1" ht="14.25" customHeight="1" x14ac:dyDescent="0.2">
      <c r="A388" s="5"/>
    </row>
    <row r="389" spans="1:1" ht="14.25" customHeight="1" x14ac:dyDescent="0.2">
      <c r="A389" s="5"/>
    </row>
    <row r="390" spans="1:1" ht="14.25" customHeight="1" x14ac:dyDescent="0.2">
      <c r="A390" s="5"/>
    </row>
    <row r="391" spans="1:1" ht="14.25" customHeight="1" x14ac:dyDescent="0.2">
      <c r="A391" s="5"/>
    </row>
    <row r="392" spans="1:1" ht="14.25" customHeight="1" x14ac:dyDescent="0.2">
      <c r="A392" s="5"/>
    </row>
    <row r="393" spans="1:1" ht="14.25" customHeight="1" x14ac:dyDescent="0.2">
      <c r="A393" s="5"/>
    </row>
    <row r="394" spans="1:1" ht="14.25" customHeight="1" x14ac:dyDescent="0.2">
      <c r="A394" s="5"/>
    </row>
    <row r="395" spans="1:1" ht="14.25" customHeight="1" x14ac:dyDescent="0.2">
      <c r="A395" s="5"/>
    </row>
    <row r="396" spans="1:1" ht="14.25" customHeight="1" x14ac:dyDescent="0.2">
      <c r="A396" s="5"/>
    </row>
    <row r="397" spans="1:1" ht="14.25" customHeight="1" x14ac:dyDescent="0.2">
      <c r="A397" s="5"/>
    </row>
    <row r="398" spans="1:1" ht="14.25" customHeight="1" x14ac:dyDescent="0.2">
      <c r="A398" s="5"/>
    </row>
    <row r="399" spans="1:1" ht="14.25" customHeight="1" x14ac:dyDescent="0.2">
      <c r="A399" s="5"/>
    </row>
    <row r="400" spans="1:1" ht="14.25" customHeight="1" x14ac:dyDescent="0.2">
      <c r="A400" s="5"/>
    </row>
    <row r="401" spans="1:1" ht="14.25" customHeight="1" x14ac:dyDescent="0.2">
      <c r="A401" s="5"/>
    </row>
    <row r="402" spans="1:1" ht="14.25" customHeight="1" x14ac:dyDescent="0.2">
      <c r="A402" s="5"/>
    </row>
    <row r="403" spans="1:1" ht="14.25" customHeight="1" x14ac:dyDescent="0.2">
      <c r="A403" s="5"/>
    </row>
    <row r="404" spans="1:1" ht="14.25" customHeight="1" x14ac:dyDescent="0.2">
      <c r="A404" s="5"/>
    </row>
    <row r="405" spans="1:1" ht="14.25" customHeight="1" x14ac:dyDescent="0.2">
      <c r="A405" s="5"/>
    </row>
    <row r="406" spans="1:1" ht="14.25" customHeight="1" x14ac:dyDescent="0.2">
      <c r="A406" s="5"/>
    </row>
    <row r="407" spans="1:1" ht="14.25" customHeight="1" x14ac:dyDescent="0.2">
      <c r="A407" s="5"/>
    </row>
    <row r="408" spans="1:1" ht="14.25" customHeight="1" x14ac:dyDescent="0.2">
      <c r="A408" s="5"/>
    </row>
    <row r="409" spans="1:1" ht="14.25" customHeight="1" x14ac:dyDescent="0.2">
      <c r="A409" s="5"/>
    </row>
    <row r="410" spans="1:1" ht="14.25" customHeight="1" x14ac:dyDescent="0.2">
      <c r="A410" s="5"/>
    </row>
    <row r="411" spans="1:1" ht="14.25" customHeight="1" x14ac:dyDescent="0.2">
      <c r="A411" s="5"/>
    </row>
    <row r="412" spans="1:1" ht="14.25" customHeight="1" x14ac:dyDescent="0.2">
      <c r="A412" s="5"/>
    </row>
    <row r="413" spans="1:1" ht="14.25" customHeight="1" x14ac:dyDescent="0.2">
      <c r="A413" s="5"/>
    </row>
    <row r="414" spans="1:1" ht="14.25" customHeight="1" x14ac:dyDescent="0.2">
      <c r="A414" s="5"/>
    </row>
    <row r="415" spans="1:1" ht="14.25" customHeight="1" x14ac:dyDescent="0.2">
      <c r="A415" s="5"/>
    </row>
    <row r="416" spans="1:1" ht="14.25" customHeight="1" x14ac:dyDescent="0.2">
      <c r="A416" s="5"/>
    </row>
    <row r="417" spans="1:1" ht="14.25" customHeight="1" x14ac:dyDescent="0.2">
      <c r="A417" s="5"/>
    </row>
    <row r="418" spans="1:1" ht="14.25" customHeight="1" x14ac:dyDescent="0.2">
      <c r="A418" s="5"/>
    </row>
    <row r="419" spans="1:1" ht="14.25" customHeight="1" x14ac:dyDescent="0.2">
      <c r="A419" s="5"/>
    </row>
    <row r="420" spans="1:1" ht="14.25" customHeight="1" x14ac:dyDescent="0.2">
      <c r="A420" s="5"/>
    </row>
    <row r="421" spans="1:1" ht="14.25" customHeight="1" x14ac:dyDescent="0.2">
      <c r="A421" s="5"/>
    </row>
    <row r="422" spans="1:1" ht="14.25" customHeight="1" x14ac:dyDescent="0.2">
      <c r="A422" s="5"/>
    </row>
    <row r="423" spans="1:1" ht="14.25" customHeight="1" x14ac:dyDescent="0.2">
      <c r="A423" s="5"/>
    </row>
    <row r="424" spans="1:1" ht="14.25" customHeight="1" x14ac:dyDescent="0.2">
      <c r="A424" s="5"/>
    </row>
    <row r="425" spans="1:1" ht="14.25" customHeight="1" x14ac:dyDescent="0.2">
      <c r="A425" s="5"/>
    </row>
    <row r="426" spans="1:1" ht="14.25" customHeight="1" x14ac:dyDescent="0.2">
      <c r="A426" s="5"/>
    </row>
    <row r="427" spans="1:1" ht="14.25" customHeight="1" x14ac:dyDescent="0.2">
      <c r="A427" s="5"/>
    </row>
    <row r="428" spans="1:1" ht="14.25" customHeight="1" x14ac:dyDescent="0.2">
      <c r="A428" s="5"/>
    </row>
    <row r="429" spans="1:1" ht="14.25" customHeight="1" x14ac:dyDescent="0.2">
      <c r="A429" s="5"/>
    </row>
    <row r="430" spans="1:1" ht="14.25" customHeight="1" x14ac:dyDescent="0.2">
      <c r="A430" s="5"/>
    </row>
    <row r="431" spans="1:1" ht="14.25" customHeight="1" x14ac:dyDescent="0.2">
      <c r="A431" s="5"/>
    </row>
    <row r="432" spans="1:1" ht="14.25" customHeight="1" x14ac:dyDescent="0.2">
      <c r="A432" s="5"/>
    </row>
    <row r="433" spans="1:1" ht="14.25" customHeight="1" x14ac:dyDescent="0.2">
      <c r="A433" s="5"/>
    </row>
    <row r="434" spans="1:1" ht="14.25" customHeight="1" x14ac:dyDescent="0.2">
      <c r="A434" s="5"/>
    </row>
    <row r="435" spans="1:1" ht="14.25" customHeight="1" x14ac:dyDescent="0.2">
      <c r="A435" s="5"/>
    </row>
    <row r="436" spans="1:1" ht="14.25" customHeight="1" x14ac:dyDescent="0.2">
      <c r="A436" s="5"/>
    </row>
    <row r="437" spans="1:1" ht="14.25" customHeight="1" x14ac:dyDescent="0.2">
      <c r="A437" s="5"/>
    </row>
    <row r="438" spans="1:1" ht="14.25" customHeight="1" x14ac:dyDescent="0.2">
      <c r="A438" s="5"/>
    </row>
    <row r="439" spans="1:1" ht="14.25" customHeight="1" x14ac:dyDescent="0.2">
      <c r="A439" s="5"/>
    </row>
    <row r="440" spans="1:1" ht="14.25" customHeight="1" x14ac:dyDescent="0.2">
      <c r="A440" s="5"/>
    </row>
    <row r="441" spans="1:1" ht="14.25" customHeight="1" x14ac:dyDescent="0.2">
      <c r="A441" s="5"/>
    </row>
    <row r="442" spans="1:1" ht="14.25" customHeight="1" x14ac:dyDescent="0.2">
      <c r="A442" s="5"/>
    </row>
    <row r="443" spans="1:1" ht="14.25" customHeight="1" x14ac:dyDescent="0.2">
      <c r="A443" s="5"/>
    </row>
    <row r="444" spans="1:1" ht="14.25" customHeight="1" x14ac:dyDescent="0.2">
      <c r="A444" s="5"/>
    </row>
    <row r="445" spans="1:1" ht="14.25" customHeight="1" x14ac:dyDescent="0.2">
      <c r="A445" s="5"/>
    </row>
    <row r="446" spans="1:1" ht="14.25" customHeight="1" x14ac:dyDescent="0.2">
      <c r="A446" s="5"/>
    </row>
    <row r="447" spans="1:1" ht="14.25" customHeight="1" x14ac:dyDescent="0.2">
      <c r="A447" s="5"/>
    </row>
    <row r="448" spans="1:1" ht="14.25" customHeight="1" x14ac:dyDescent="0.2">
      <c r="A448" s="5"/>
    </row>
    <row r="449" spans="1:1" ht="14.25" customHeight="1" x14ac:dyDescent="0.2">
      <c r="A449" s="5"/>
    </row>
    <row r="450" spans="1:1" ht="14.25" customHeight="1" x14ac:dyDescent="0.2">
      <c r="A450" s="5"/>
    </row>
    <row r="451" spans="1:1" ht="14.25" customHeight="1" x14ac:dyDescent="0.2">
      <c r="A451" s="5"/>
    </row>
    <row r="452" spans="1:1" ht="14.25" customHeight="1" x14ac:dyDescent="0.2">
      <c r="A452" s="5"/>
    </row>
    <row r="453" spans="1:1" ht="14.25" customHeight="1" x14ac:dyDescent="0.2">
      <c r="A453" s="5"/>
    </row>
    <row r="454" spans="1:1" ht="14.25" customHeight="1" x14ac:dyDescent="0.2">
      <c r="A454" s="5"/>
    </row>
    <row r="455" spans="1:1" ht="14.25" customHeight="1" x14ac:dyDescent="0.2">
      <c r="A455" s="5"/>
    </row>
    <row r="456" spans="1:1" ht="14.25" customHeight="1" x14ac:dyDescent="0.2">
      <c r="A456" s="5"/>
    </row>
    <row r="457" spans="1:1" ht="14.25" customHeight="1" x14ac:dyDescent="0.2">
      <c r="A457" s="5"/>
    </row>
    <row r="458" spans="1:1" ht="14.25" customHeight="1" x14ac:dyDescent="0.2">
      <c r="A458" s="5"/>
    </row>
    <row r="459" spans="1:1" ht="14.25" customHeight="1" x14ac:dyDescent="0.2">
      <c r="A459" s="5"/>
    </row>
    <row r="460" spans="1:1" ht="14.25" customHeight="1" x14ac:dyDescent="0.2">
      <c r="A460" s="5"/>
    </row>
    <row r="461" spans="1:1" ht="14.25" customHeight="1" x14ac:dyDescent="0.2">
      <c r="A461" s="5"/>
    </row>
    <row r="462" spans="1:1" ht="14.25" customHeight="1" x14ac:dyDescent="0.2">
      <c r="A462" s="5"/>
    </row>
    <row r="463" spans="1:1" ht="14.25" customHeight="1" x14ac:dyDescent="0.2">
      <c r="A463" s="5"/>
    </row>
    <row r="464" spans="1:1" ht="14.25" customHeight="1" x14ac:dyDescent="0.2">
      <c r="A464" s="5"/>
    </row>
    <row r="465" spans="1:1" ht="14.25" customHeight="1" x14ac:dyDescent="0.2">
      <c r="A465" s="5"/>
    </row>
    <row r="466" spans="1:1" ht="14.25" customHeight="1" x14ac:dyDescent="0.2">
      <c r="A466" s="5"/>
    </row>
    <row r="467" spans="1:1" ht="14.25" customHeight="1" x14ac:dyDescent="0.2">
      <c r="A467" s="5"/>
    </row>
    <row r="468" spans="1:1" ht="14.25" customHeight="1" x14ac:dyDescent="0.2">
      <c r="A468" s="5"/>
    </row>
    <row r="469" spans="1:1" ht="14.25" customHeight="1" x14ac:dyDescent="0.2">
      <c r="A469" s="5"/>
    </row>
    <row r="470" spans="1:1" ht="14.25" customHeight="1" x14ac:dyDescent="0.2">
      <c r="A470" s="5"/>
    </row>
    <row r="471" spans="1:1" ht="14.25" customHeight="1" x14ac:dyDescent="0.2">
      <c r="A471" s="5"/>
    </row>
    <row r="472" spans="1:1" ht="14.25" customHeight="1" x14ac:dyDescent="0.2">
      <c r="A472" s="5"/>
    </row>
    <row r="473" spans="1:1" ht="14.25" customHeight="1" x14ac:dyDescent="0.2">
      <c r="A473" s="5"/>
    </row>
    <row r="474" spans="1:1" ht="14.25" customHeight="1" x14ac:dyDescent="0.2">
      <c r="A474" s="5"/>
    </row>
    <row r="475" spans="1:1" ht="14.25" customHeight="1" x14ac:dyDescent="0.2">
      <c r="A475" s="5"/>
    </row>
    <row r="476" spans="1:1" ht="14.25" customHeight="1" x14ac:dyDescent="0.2">
      <c r="A476" s="5"/>
    </row>
    <row r="477" spans="1:1" ht="14.25" customHeight="1" x14ac:dyDescent="0.2">
      <c r="A477" s="5"/>
    </row>
    <row r="478" spans="1:1" ht="14.25" customHeight="1" x14ac:dyDescent="0.2">
      <c r="A478" s="5"/>
    </row>
    <row r="479" spans="1:1" ht="14.25" customHeight="1" x14ac:dyDescent="0.2">
      <c r="A479" s="5"/>
    </row>
    <row r="480" spans="1:1" ht="14.25" customHeight="1" x14ac:dyDescent="0.2">
      <c r="A480" s="5"/>
    </row>
    <row r="481" spans="1:1" ht="14.25" customHeight="1" x14ac:dyDescent="0.2">
      <c r="A481" s="5"/>
    </row>
    <row r="482" spans="1:1" ht="14.25" customHeight="1" x14ac:dyDescent="0.2">
      <c r="A482" s="5"/>
    </row>
    <row r="483" spans="1:1" ht="14.25" customHeight="1" x14ac:dyDescent="0.2">
      <c r="A483" s="5"/>
    </row>
    <row r="484" spans="1:1" ht="14.25" customHeight="1" x14ac:dyDescent="0.2">
      <c r="A484" s="5"/>
    </row>
    <row r="485" spans="1:1" ht="14.25" customHeight="1" x14ac:dyDescent="0.2">
      <c r="A485" s="5"/>
    </row>
    <row r="486" spans="1:1" ht="14.25" customHeight="1" x14ac:dyDescent="0.2">
      <c r="A486" s="5"/>
    </row>
    <row r="487" spans="1:1" ht="14.25" customHeight="1" x14ac:dyDescent="0.2">
      <c r="A487" s="5"/>
    </row>
    <row r="488" spans="1:1" ht="14.25" customHeight="1" x14ac:dyDescent="0.2">
      <c r="A488" s="5"/>
    </row>
    <row r="489" spans="1:1" ht="14.25" customHeight="1" x14ac:dyDescent="0.2">
      <c r="A489" s="5"/>
    </row>
    <row r="490" spans="1:1" ht="14.25" customHeight="1" x14ac:dyDescent="0.2">
      <c r="A490" s="5"/>
    </row>
    <row r="491" spans="1:1" ht="14.25" customHeight="1" x14ac:dyDescent="0.2">
      <c r="A491" s="5"/>
    </row>
    <row r="492" spans="1:1" ht="14.25" customHeight="1" x14ac:dyDescent="0.2">
      <c r="A492" s="5"/>
    </row>
    <row r="493" spans="1:1" ht="14.25" customHeight="1" x14ac:dyDescent="0.2">
      <c r="A493" s="5"/>
    </row>
    <row r="494" spans="1:1" ht="14.25" customHeight="1" x14ac:dyDescent="0.2">
      <c r="A494" s="5"/>
    </row>
    <row r="495" spans="1:1" ht="14.25" customHeight="1" x14ac:dyDescent="0.2">
      <c r="A495" s="5"/>
    </row>
    <row r="496" spans="1:1" ht="14.25" customHeight="1" x14ac:dyDescent="0.2">
      <c r="A496" s="5"/>
    </row>
  </sheetData>
  <protectedRanges>
    <protectedRange sqref="G21" name="Intervalo1_2_2"/>
    <protectedRange sqref="F15" name="Intervalo1_13_1_1_1_1_1"/>
  </protectedRanges>
  <mergeCells count="83">
    <mergeCell ref="AZ22:BA22"/>
    <mergeCell ref="AE22:AF22"/>
    <mergeCell ref="AH22:AI22"/>
    <mergeCell ref="A9:A11"/>
    <mergeCell ref="AT10:AT11"/>
    <mergeCell ref="AN22:AO22"/>
    <mergeCell ref="AW22:AX22"/>
    <mergeCell ref="AK22:AL22"/>
    <mergeCell ref="AQ22:AR22"/>
    <mergeCell ref="AT22:AU22"/>
    <mergeCell ref="AU10:AU11"/>
    <mergeCell ref="AB10:AB11"/>
    <mergeCell ref="AC10:AC11"/>
    <mergeCell ref="AE10:AE11"/>
    <mergeCell ref="AI10:AI11"/>
    <mergeCell ref="AN10:AN11"/>
    <mergeCell ref="AZ23:BA23"/>
    <mergeCell ref="Y23:Z23"/>
    <mergeCell ref="M23:N23"/>
    <mergeCell ref="P23:Q23"/>
    <mergeCell ref="AT23:AU23"/>
    <mergeCell ref="AW23:AX23"/>
    <mergeCell ref="AB23:AC23"/>
    <mergeCell ref="AE23:AF23"/>
    <mergeCell ref="AH23:AI23"/>
    <mergeCell ref="AK23:AL23"/>
    <mergeCell ref="AQ23:AR23"/>
    <mergeCell ref="Z10:Z11"/>
    <mergeCell ref="AW10:AW11"/>
    <mergeCell ref="AO10:AO11"/>
    <mergeCell ref="AQ10:AQ11"/>
    <mergeCell ref="S23:T23"/>
    <mergeCell ref="V23:W23"/>
    <mergeCell ref="V22:W22"/>
    <mergeCell ref="Y22:Z22"/>
    <mergeCell ref="AK9:AM9"/>
    <mergeCell ref="AT9:AV9"/>
    <mergeCell ref="AZ10:AZ11"/>
    <mergeCell ref="AF10:AF11"/>
    <mergeCell ref="AH10:AH11"/>
    <mergeCell ref="AL10:AL11"/>
    <mergeCell ref="BA10:BA11"/>
    <mergeCell ref="AW9:AY9"/>
    <mergeCell ref="W10:W11"/>
    <mergeCell ref="P22:Q22"/>
    <mergeCell ref="S22:T22"/>
    <mergeCell ref="Y9:AA9"/>
    <mergeCell ref="S9:U9"/>
    <mergeCell ref="S10:S11"/>
    <mergeCell ref="T10:T11"/>
    <mergeCell ref="AX10:AX11"/>
    <mergeCell ref="V9:X9"/>
    <mergeCell ref="P9:R9"/>
    <mergeCell ref="AZ9:BB9"/>
    <mergeCell ref="AB9:AD9"/>
    <mergeCell ref="AE9:AG9"/>
    <mergeCell ref="AH9:AJ9"/>
    <mergeCell ref="M9:O9"/>
    <mergeCell ref="H23:J23"/>
    <mergeCell ref="H22:J22"/>
    <mergeCell ref="AQ9:AS9"/>
    <mergeCell ref="AN9:AP9"/>
    <mergeCell ref="AK10:AK11"/>
    <mergeCell ref="AB22:AC22"/>
    <mergeCell ref="AN23:AO23"/>
    <mergeCell ref="AR10:AR11"/>
    <mergeCell ref="M22:N22"/>
    <mergeCell ref="M10:M11"/>
    <mergeCell ref="N10:N11"/>
    <mergeCell ref="Y10:Y11"/>
    <mergeCell ref="P10:P11"/>
    <mergeCell ref="Q10:Q11"/>
    <mergeCell ref="V10:V11"/>
    <mergeCell ref="E4:G4"/>
    <mergeCell ref="F9:F11"/>
    <mergeCell ref="E5:K7"/>
    <mergeCell ref="G8:H8"/>
    <mergeCell ref="J9:K10"/>
    <mergeCell ref="B9:B11"/>
    <mergeCell ref="D9:D11"/>
    <mergeCell ref="E9:E11"/>
    <mergeCell ref="G9:I10"/>
    <mergeCell ref="C9:C11"/>
  </mergeCells>
  <phoneticPr fontId="14" type="noConversion"/>
  <conditionalFormatting sqref="AW12">
    <cfRule type="cellIs" dxfId="0" priority="2" stopIfTrue="1" operator="greaterThanOrEqual">
      <formula>0.8</formula>
    </cfRule>
  </conditionalFormatting>
  <printOptions horizontalCentered="1"/>
  <pageMargins left="0.39370078740157483" right="0.39370078740157483" top="0.74803149606299213" bottom="0.86614173228346458" header="0.51181102362204722" footer="0.51181102362204722"/>
  <pageSetup paperSize="9" scale="70" orientation="landscape" verticalDpi="300" r:id="rId1"/>
  <headerFooter alignWithMargins="0">
    <oddHeader>Página &amp;P de &amp;N</oddHeader>
    <oddFooter>&amp;C&amp;F</oddFooter>
  </headerFooter>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2:AC28"/>
  <sheetViews>
    <sheetView view="pageBreakPreview" zoomScale="75" zoomScaleNormal="75" zoomScaleSheetLayoutView="75" workbookViewId="0">
      <selection activeCell="G40" sqref="G39:G40"/>
    </sheetView>
  </sheetViews>
  <sheetFormatPr defaultRowHeight="12.75" x14ac:dyDescent="0.2"/>
  <cols>
    <col min="1" max="1" width="6.7109375" customWidth="1"/>
    <col min="2" max="2" width="29.7109375" customWidth="1"/>
    <col min="3" max="3" width="13" customWidth="1"/>
    <col min="4" max="4" width="8.85546875" customWidth="1"/>
    <col min="5" max="5" width="10.85546875" customWidth="1"/>
    <col min="6" max="6" width="6.85546875" customWidth="1"/>
    <col min="7" max="7" width="11.7109375" bestFit="1" customWidth="1"/>
    <col min="8" max="8" width="8.140625" bestFit="1" customWidth="1"/>
    <col min="9" max="9" width="11.7109375" bestFit="1" customWidth="1"/>
    <col min="10" max="10" width="8.140625" bestFit="1" customWidth="1"/>
    <col min="11" max="11" width="11.7109375" bestFit="1" customWidth="1"/>
    <col min="12" max="12" width="8.140625" bestFit="1" customWidth="1"/>
    <col min="13" max="13" width="12.42578125" customWidth="1"/>
    <col min="14" max="14" width="8.140625" bestFit="1" customWidth="1"/>
    <col min="15" max="15" width="12.42578125" customWidth="1"/>
    <col min="16" max="16" width="8.140625" bestFit="1" customWidth="1"/>
    <col min="17" max="17" width="12.42578125" customWidth="1"/>
    <col min="18" max="18" width="8.140625" bestFit="1" customWidth="1"/>
    <col min="19" max="19" width="11.7109375" bestFit="1" customWidth="1"/>
    <col min="20" max="20" width="8.140625" bestFit="1" customWidth="1"/>
    <col min="21" max="21" width="11.7109375" bestFit="1" customWidth="1"/>
    <col min="22" max="22" width="8.140625" bestFit="1" customWidth="1"/>
    <col min="23" max="23" width="11.7109375" bestFit="1" customWidth="1"/>
    <col min="24" max="24" width="8.140625" bestFit="1" customWidth="1"/>
    <col min="25" max="25" width="12.42578125" customWidth="1"/>
    <col min="26" max="26" width="8.140625" bestFit="1" customWidth="1"/>
    <col min="27" max="27" width="11.7109375" bestFit="1" customWidth="1"/>
    <col min="28" max="28" width="8.140625" bestFit="1" customWidth="1"/>
  </cols>
  <sheetData>
    <row r="2" spans="1:29" ht="23.25" x14ac:dyDescent="0.2">
      <c r="A2" s="136"/>
      <c r="C2" s="137" t="s">
        <v>56</v>
      </c>
    </row>
    <row r="3" spans="1:29" ht="23.25" x14ac:dyDescent="0.2">
      <c r="A3" s="136"/>
      <c r="C3" s="137" t="s">
        <v>481</v>
      </c>
    </row>
    <row r="4" spans="1:29" ht="23.25" x14ac:dyDescent="0.25">
      <c r="A4" s="136"/>
      <c r="C4" s="4" t="s">
        <v>2</v>
      </c>
    </row>
    <row r="5" spans="1:29" ht="23.25" x14ac:dyDescent="0.25">
      <c r="A5" s="136" t="s">
        <v>482</v>
      </c>
      <c r="B5" s="136"/>
      <c r="C5" s="136"/>
      <c r="D5" s="136"/>
      <c r="E5" s="136"/>
      <c r="F5" s="136"/>
      <c r="G5" s="136"/>
      <c r="I5" s="139"/>
    </row>
    <row r="6" spans="1:29" ht="18" x14ac:dyDescent="0.25">
      <c r="A6" s="1" t="e">
        <f>RESUMO!#REF!</f>
        <v>#REF!</v>
      </c>
      <c r="B6" s="138"/>
      <c r="C6" s="138"/>
      <c r="D6" s="138"/>
    </row>
    <row r="7" spans="1:29" ht="18" x14ac:dyDescent="0.25">
      <c r="A7" s="1" t="e">
        <f>RESUMO!#REF!</f>
        <v>#REF!</v>
      </c>
      <c r="B7" s="138"/>
      <c r="C7" s="138"/>
      <c r="D7" s="138"/>
      <c r="G7" s="139" t="s">
        <v>483</v>
      </c>
      <c r="H7" s="139">
        <f>'Cron Reforma'!H7</f>
        <v>365</v>
      </c>
      <c r="I7" s="139" t="s">
        <v>484</v>
      </c>
    </row>
    <row r="8" spans="1:29" ht="18" x14ac:dyDescent="0.25">
      <c r="A8" s="1" t="str">
        <f>RESUMO!A7</f>
        <v xml:space="preserve">RESUMO DA PLANILHA ORÇAMENTARIA </v>
      </c>
      <c r="B8" s="139"/>
      <c r="C8" s="139"/>
      <c r="D8" s="140"/>
    </row>
    <row r="9" spans="1:29" ht="18" x14ac:dyDescent="0.25">
      <c r="A9" s="1" t="s">
        <v>43</v>
      </c>
      <c r="B9" s="139"/>
      <c r="C9" s="139"/>
      <c r="D9" s="140"/>
    </row>
    <row r="10" spans="1:29" ht="18" x14ac:dyDescent="0.25">
      <c r="A10" s="2" t="e">
        <f>Drenagem!E5</f>
        <v>#REF!</v>
      </c>
      <c r="B10" s="139"/>
      <c r="C10" s="139"/>
      <c r="D10" s="140"/>
    </row>
    <row r="11" spans="1:29" ht="15.75" x14ac:dyDescent="0.25">
      <c r="A11" s="5"/>
      <c r="B11" s="139"/>
      <c r="C11" s="139"/>
      <c r="D11" s="140"/>
    </row>
    <row r="12" spans="1:29" ht="13.5" thickBot="1" x14ac:dyDescent="0.25">
      <c r="A12" s="665" t="s">
        <v>482</v>
      </c>
      <c r="B12" s="669"/>
      <c r="C12" s="669"/>
      <c r="D12" s="669"/>
      <c r="E12" s="670"/>
      <c r="F12" s="670"/>
      <c r="G12" s="670"/>
      <c r="H12" s="670"/>
      <c r="I12" s="670"/>
      <c r="J12" s="670"/>
      <c r="K12" s="670"/>
      <c r="L12" s="670"/>
      <c r="M12" s="670"/>
      <c r="N12" s="670"/>
      <c r="O12" s="670"/>
      <c r="P12" s="670"/>
      <c r="Q12" s="670"/>
      <c r="R12" s="670"/>
      <c r="S12" s="670"/>
      <c r="T12" s="670"/>
      <c r="U12" s="670"/>
      <c r="V12" s="670"/>
    </row>
    <row r="13" spans="1:29" s="141" customFormat="1" ht="16.5" thickBot="1" x14ac:dyDescent="0.25">
      <c r="A13" s="680" t="s">
        <v>13</v>
      </c>
      <c r="B13" s="645" t="s">
        <v>485</v>
      </c>
      <c r="C13" s="649" t="s">
        <v>486</v>
      </c>
      <c r="D13" s="649"/>
      <c r="E13" s="671" t="s">
        <v>487</v>
      </c>
      <c r="F13" s="672"/>
      <c r="G13" s="672"/>
      <c r="H13" s="672"/>
      <c r="I13" s="672"/>
      <c r="J13" s="672"/>
      <c r="K13" s="672"/>
      <c r="L13" s="672"/>
      <c r="M13" s="672"/>
      <c r="N13" s="672"/>
      <c r="O13" s="672"/>
      <c r="P13" s="672"/>
      <c r="Q13" s="672"/>
      <c r="R13" s="672"/>
      <c r="S13" s="672"/>
      <c r="T13" s="672"/>
      <c r="U13" s="672"/>
      <c r="V13" s="672"/>
      <c r="W13" s="672"/>
      <c r="X13" s="672"/>
      <c r="Y13" s="672"/>
      <c r="Z13" s="672"/>
      <c r="AA13" s="672"/>
      <c r="AB13" s="673"/>
    </row>
    <row r="14" spans="1:29" s="141" customFormat="1" ht="16.5" thickBot="1" x14ac:dyDescent="0.25">
      <c r="A14" s="681"/>
      <c r="B14" s="646"/>
      <c r="C14" s="649"/>
      <c r="D14" s="649"/>
      <c r="E14" s="674" t="s">
        <v>488</v>
      </c>
      <c r="F14" s="674"/>
      <c r="G14" s="674" t="s">
        <v>489</v>
      </c>
      <c r="H14" s="674"/>
      <c r="I14" s="674" t="s">
        <v>490</v>
      </c>
      <c r="J14" s="674"/>
      <c r="K14" s="674" t="s">
        <v>491</v>
      </c>
      <c r="L14" s="674"/>
      <c r="M14" s="674" t="s">
        <v>492</v>
      </c>
      <c r="N14" s="674"/>
      <c r="O14" s="674" t="s">
        <v>493</v>
      </c>
      <c r="P14" s="674"/>
      <c r="Q14" s="674" t="s">
        <v>494</v>
      </c>
      <c r="R14" s="674"/>
      <c r="S14" s="674" t="s">
        <v>495</v>
      </c>
      <c r="T14" s="674"/>
      <c r="U14" s="674" t="s">
        <v>496</v>
      </c>
      <c r="V14" s="674"/>
      <c r="W14" s="674" t="s">
        <v>497</v>
      </c>
      <c r="X14" s="674"/>
      <c r="Y14" s="674" t="s">
        <v>498</v>
      </c>
      <c r="Z14" s="674"/>
      <c r="AA14" s="674" t="s">
        <v>499</v>
      </c>
      <c r="AB14" s="674"/>
    </row>
    <row r="15" spans="1:29" s="141" customFormat="1" ht="15.75" thickBot="1" x14ac:dyDescent="0.25">
      <c r="A15" s="682"/>
      <c r="B15" s="683"/>
      <c r="C15" s="142" t="s">
        <v>500</v>
      </c>
      <c r="D15" s="143" t="s">
        <v>16</v>
      </c>
      <c r="E15" s="142" t="s">
        <v>500</v>
      </c>
      <c r="F15" s="143" t="s">
        <v>16</v>
      </c>
      <c r="G15" s="144" t="s">
        <v>501</v>
      </c>
      <c r="H15" s="145" t="s">
        <v>16</v>
      </c>
      <c r="I15" s="144" t="s">
        <v>501</v>
      </c>
      <c r="J15" s="145" t="s">
        <v>16</v>
      </c>
      <c r="K15" s="144" t="s">
        <v>501</v>
      </c>
      <c r="L15" s="145" t="s">
        <v>16</v>
      </c>
      <c r="M15" s="144" t="s">
        <v>501</v>
      </c>
      <c r="N15" s="145" t="s">
        <v>16</v>
      </c>
      <c r="O15" s="144" t="s">
        <v>501</v>
      </c>
      <c r="P15" s="145" t="s">
        <v>16</v>
      </c>
      <c r="Q15" s="144" t="s">
        <v>501</v>
      </c>
      <c r="R15" s="145" t="s">
        <v>16</v>
      </c>
      <c r="S15" s="144" t="s">
        <v>501</v>
      </c>
      <c r="T15" s="145" t="s">
        <v>16</v>
      </c>
      <c r="U15" s="144" t="s">
        <v>501</v>
      </c>
      <c r="V15" s="145" t="s">
        <v>16</v>
      </c>
      <c r="W15" s="144" t="s">
        <v>501</v>
      </c>
      <c r="X15" s="145" t="s">
        <v>16</v>
      </c>
      <c r="Y15" s="144" t="s">
        <v>501</v>
      </c>
      <c r="Z15" s="145" t="s">
        <v>16</v>
      </c>
      <c r="AA15" s="144" t="s">
        <v>501</v>
      </c>
      <c r="AB15" s="145" t="s">
        <v>16</v>
      </c>
    </row>
    <row r="16" spans="1:29" s="141" customFormat="1" ht="15" x14ac:dyDescent="0.2">
      <c r="A16" s="34" t="s">
        <v>53</v>
      </c>
      <c r="B16" s="35" t="e">
        <f>Drenagem!#REF!</f>
        <v>#REF!</v>
      </c>
      <c r="C16" s="16" t="e">
        <f>Drenagem!#REF!</f>
        <v>#REF!</v>
      </c>
      <c r="D16" s="106" t="e">
        <f t="shared" ref="D16:D24" si="0">(C16/$C$26)</f>
        <v>#REF!</v>
      </c>
      <c r="E16" s="146" t="e">
        <f t="shared" ref="E16:E24" si="1">C16*F16/100</f>
        <v>#REF!</v>
      </c>
      <c r="F16" s="147">
        <v>100</v>
      </c>
      <c r="G16" s="146" t="e">
        <f t="shared" ref="G16:G24" si="2">C16*H16/100</f>
        <v>#REF!</v>
      </c>
      <c r="H16" s="125">
        <v>0</v>
      </c>
      <c r="I16" s="146" t="e">
        <f t="shared" ref="I16:I24" si="3">C16*J16/100</f>
        <v>#REF!</v>
      </c>
      <c r="J16" s="148">
        <v>0</v>
      </c>
      <c r="K16" s="127" t="e">
        <f t="shared" ref="K16:K24" si="4">C16*L16/100</f>
        <v>#REF!</v>
      </c>
      <c r="L16" s="148">
        <v>0</v>
      </c>
      <c r="M16" s="146" t="e">
        <f t="shared" ref="M16:M24" si="5">C16*N16/100</f>
        <v>#REF!</v>
      </c>
      <c r="N16" s="148">
        <v>0</v>
      </c>
      <c r="O16" s="127" t="e">
        <f t="shared" ref="O16:O24" si="6">C16*P16/100</f>
        <v>#REF!</v>
      </c>
      <c r="P16" s="148">
        <v>0</v>
      </c>
      <c r="Q16" s="146" t="e">
        <f t="shared" ref="Q16:Q24" si="7">C16*R16/100</f>
        <v>#REF!</v>
      </c>
      <c r="R16" s="148">
        <v>0</v>
      </c>
      <c r="S16" s="127" t="e">
        <f t="shared" ref="S16:S24" si="8">C16*T16/100</f>
        <v>#REF!</v>
      </c>
      <c r="T16" s="148">
        <v>0</v>
      </c>
      <c r="U16" s="146" t="e">
        <f t="shared" ref="U16:U24" si="9">(C16*V16)/100</f>
        <v>#REF!</v>
      </c>
      <c r="V16" s="148">
        <v>0</v>
      </c>
      <c r="W16" s="127" t="e">
        <f t="shared" ref="W16:W24" si="10">(X16*C16)/100</f>
        <v>#REF!</v>
      </c>
      <c r="X16" s="148">
        <v>0</v>
      </c>
      <c r="Y16" s="146" t="e">
        <f t="shared" ref="Y16:Y24" si="11">(Z16*C16)/100</f>
        <v>#REF!</v>
      </c>
      <c r="Z16" s="148">
        <v>0</v>
      </c>
      <c r="AA16" s="146" t="e">
        <f t="shared" ref="AA16:AA24" si="12">(AB16*C16)/100</f>
        <v>#REF!</v>
      </c>
      <c r="AB16" s="148">
        <v>0</v>
      </c>
      <c r="AC16" s="408">
        <f t="shared" ref="AC16:AC24" si="13">F16+H16+J16+L16+N16+P16+R16+T16+V16+X16+Z16+AB16</f>
        <v>100</v>
      </c>
    </row>
    <row r="17" spans="1:29" s="141" customFormat="1" ht="15" x14ac:dyDescent="0.2">
      <c r="A17" s="103" t="s">
        <v>41</v>
      </c>
      <c r="B17" s="27" t="e">
        <f>Drenagem!#REF!</f>
        <v>#REF!</v>
      </c>
      <c r="C17" s="122" t="e">
        <f>Drenagem!#REF!</f>
        <v>#REF!</v>
      </c>
      <c r="D17" s="106" t="e">
        <f t="shared" si="0"/>
        <v>#REF!</v>
      </c>
      <c r="E17" s="123" t="e">
        <f t="shared" si="1"/>
        <v>#REF!</v>
      </c>
      <c r="F17" s="124">
        <v>100</v>
      </c>
      <c r="G17" s="123" t="e">
        <f t="shared" si="2"/>
        <v>#REF!</v>
      </c>
      <c r="H17" s="125">
        <v>0</v>
      </c>
      <c r="I17" s="123" t="e">
        <f t="shared" si="3"/>
        <v>#REF!</v>
      </c>
      <c r="J17" s="126">
        <v>0</v>
      </c>
      <c r="K17" s="127" t="e">
        <f t="shared" si="4"/>
        <v>#REF!</v>
      </c>
      <c r="L17" s="126">
        <v>0</v>
      </c>
      <c r="M17" s="123" t="e">
        <f t="shared" si="5"/>
        <v>#REF!</v>
      </c>
      <c r="N17" s="126">
        <v>0</v>
      </c>
      <c r="O17" s="127" t="e">
        <f t="shared" si="6"/>
        <v>#REF!</v>
      </c>
      <c r="P17" s="126">
        <v>0</v>
      </c>
      <c r="Q17" s="123" t="e">
        <f t="shared" si="7"/>
        <v>#REF!</v>
      </c>
      <c r="R17" s="126">
        <v>0</v>
      </c>
      <c r="S17" s="127" t="e">
        <f t="shared" si="8"/>
        <v>#REF!</v>
      </c>
      <c r="T17" s="126">
        <v>0</v>
      </c>
      <c r="U17" s="123" t="e">
        <f t="shared" si="9"/>
        <v>#REF!</v>
      </c>
      <c r="V17" s="126">
        <v>0</v>
      </c>
      <c r="W17" s="127" t="e">
        <f t="shared" si="10"/>
        <v>#REF!</v>
      </c>
      <c r="X17" s="126">
        <v>0</v>
      </c>
      <c r="Y17" s="123" t="e">
        <f t="shared" si="11"/>
        <v>#REF!</v>
      </c>
      <c r="Z17" s="126">
        <v>0</v>
      </c>
      <c r="AA17" s="123" t="e">
        <f t="shared" si="12"/>
        <v>#REF!</v>
      </c>
      <c r="AB17" s="126">
        <v>0</v>
      </c>
      <c r="AC17" s="408">
        <f t="shared" si="13"/>
        <v>100</v>
      </c>
    </row>
    <row r="18" spans="1:29" s="141" customFormat="1" ht="15" x14ac:dyDescent="0.2">
      <c r="A18" s="34" t="s">
        <v>171</v>
      </c>
      <c r="B18" s="27" t="e">
        <f>Drenagem!#REF!</f>
        <v>#REF!</v>
      </c>
      <c r="C18" s="16">
        <f>Drenagem!K22</f>
        <v>30986.18</v>
      </c>
      <c r="D18" s="106" t="e">
        <f t="shared" si="0"/>
        <v>#REF!</v>
      </c>
      <c r="E18" s="123">
        <f t="shared" si="1"/>
        <v>30986.18</v>
      </c>
      <c r="F18" s="124">
        <v>100</v>
      </c>
      <c r="G18" s="123">
        <f t="shared" si="2"/>
        <v>0</v>
      </c>
      <c r="H18" s="125">
        <v>0</v>
      </c>
      <c r="I18" s="123">
        <f t="shared" si="3"/>
        <v>0</v>
      </c>
      <c r="J18" s="126">
        <v>0</v>
      </c>
      <c r="K18" s="127">
        <f t="shared" si="4"/>
        <v>0</v>
      </c>
      <c r="L18" s="126">
        <v>0</v>
      </c>
      <c r="M18" s="123">
        <f t="shared" si="5"/>
        <v>0</v>
      </c>
      <c r="N18" s="126">
        <v>0</v>
      </c>
      <c r="O18" s="127">
        <f t="shared" si="6"/>
        <v>0</v>
      </c>
      <c r="P18" s="126">
        <v>0</v>
      </c>
      <c r="Q18" s="123">
        <f t="shared" si="7"/>
        <v>0</v>
      </c>
      <c r="R18" s="126">
        <v>0</v>
      </c>
      <c r="S18" s="127">
        <f t="shared" si="8"/>
        <v>0</v>
      </c>
      <c r="T18" s="126">
        <v>0</v>
      </c>
      <c r="U18" s="123">
        <f t="shared" si="9"/>
        <v>0</v>
      </c>
      <c r="V18" s="126">
        <v>0</v>
      </c>
      <c r="W18" s="127">
        <f t="shared" si="10"/>
        <v>0</v>
      </c>
      <c r="X18" s="126">
        <v>0</v>
      </c>
      <c r="Y18" s="123">
        <f t="shared" si="11"/>
        <v>0</v>
      </c>
      <c r="Z18" s="126">
        <v>0</v>
      </c>
      <c r="AA18" s="123">
        <f t="shared" si="12"/>
        <v>0</v>
      </c>
      <c r="AB18" s="126">
        <v>0</v>
      </c>
      <c r="AC18" s="408">
        <f t="shared" si="13"/>
        <v>100</v>
      </c>
    </row>
    <row r="19" spans="1:29" s="141" customFormat="1" ht="15" x14ac:dyDescent="0.2">
      <c r="A19" s="103" t="s">
        <v>199</v>
      </c>
      <c r="B19" s="27" t="e">
        <f>Drenagem!#REF!</f>
        <v>#REF!</v>
      </c>
      <c r="C19" s="16" t="e">
        <f>Drenagem!#REF!</f>
        <v>#REF!</v>
      </c>
      <c r="D19" s="106" t="e">
        <f t="shared" si="0"/>
        <v>#REF!</v>
      </c>
      <c r="E19" s="123" t="e">
        <f t="shared" si="1"/>
        <v>#REF!</v>
      </c>
      <c r="F19" s="124">
        <v>100</v>
      </c>
      <c r="G19" s="123" t="e">
        <f t="shared" si="2"/>
        <v>#REF!</v>
      </c>
      <c r="H19" s="125">
        <v>0</v>
      </c>
      <c r="I19" s="123" t="e">
        <f t="shared" si="3"/>
        <v>#REF!</v>
      </c>
      <c r="J19" s="126">
        <v>0</v>
      </c>
      <c r="K19" s="127" t="e">
        <f t="shared" si="4"/>
        <v>#REF!</v>
      </c>
      <c r="L19" s="126">
        <v>0</v>
      </c>
      <c r="M19" s="123" t="e">
        <f t="shared" si="5"/>
        <v>#REF!</v>
      </c>
      <c r="N19" s="126">
        <v>0</v>
      </c>
      <c r="O19" s="127" t="e">
        <f t="shared" si="6"/>
        <v>#REF!</v>
      </c>
      <c r="P19" s="126">
        <v>0</v>
      </c>
      <c r="Q19" s="123" t="e">
        <f t="shared" si="7"/>
        <v>#REF!</v>
      </c>
      <c r="R19" s="126">
        <v>0</v>
      </c>
      <c r="S19" s="127" t="e">
        <f t="shared" si="8"/>
        <v>#REF!</v>
      </c>
      <c r="T19" s="126">
        <v>0</v>
      </c>
      <c r="U19" s="123" t="e">
        <f t="shared" si="9"/>
        <v>#REF!</v>
      </c>
      <c r="V19" s="126">
        <v>0</v>
      </c>
      <c r="W19" s="127" t="e">
        <f t="shared" si="10"/>
        <v>#REF!</v>
      </c>
      <c r="X19" s="126">
        <v>0</v>
      </c>
      <c r="Y19" s="123" t="e">
        <f t="shared" si="11"/>
        <v>#REF!</v>
      </c>
      <c r="Z19" s="126">
        <v>0</v>
      </c>
      <c r="AA19" s="123" t="e">
        <f t="shared" si="12"/>
        <v>#REF!</v>
      </c>
      <c r="AB19" s="126">
        <v>0</v>
      </c>
      <c r="AC19" s="408">
        <f t="shared" si="13"/>
        <v>100</v>
      </c>
    </row>
    <row r="20" spans="1:29" s="141" customFormat="1" ht="15" x14ac:dyDescent="0.2">
      <c r="A20" s="103" t="s">
        <v>227</v>
      </c>
      <c r="B20" s="27" t="e">
        <f>Drenagem!#REF!</f>
        <v>#REF!</v>
      </c>
      <c r="C20" s="16" t="e">
        <f>Drenagem!#REF!</f>
        <v>#REF!</v>
      </c>
      <c r="D20" s="106" t="e">
        <f t="shared" si="0"/>
        <v>#REF!</v>
      </c>
      <c r="E20" s="123" t="e">
        <f t="shared" si="1"/>
        <v>#REF!</v>
      </c>
      <c r="F20" s="124">
        <v>100</v>
      </c>
      <c r="G20" s="123" t="e">
        <f t="shared" si="2"/>
        <v>#REF!</v>
      </c>
      <c r="H20" s="125">
        <v>0</v>
      </c>
      <c r="I20" s="123" t="e">
        <f t="shared" si="3"/>
        <v>#REF!</v>
      </c>
      <c r="J20" s="126">
        <v>0</v>
      </c>
      <c r="K20" s="127" t="e">
        <f t="shared" si="4"/>
        <v>#REF!</v>
      </c>
      <c r="L20" s="126">
        <v>0</v>
      </c>
      <c r="M20" s="123" t="e">
        <f t="shared" si="5"/>
        <v>#REF!</v>
      </c>
      <c r="N20" s="126">
        <v>0</v>
      </c>
      <c r="O20" s="127" t="e">
        <f t="shared" si="6"/>
        <v>#REF!</v>
      </c>
      <c r="P20" s="126">
        <v>0</v>
      </c>
      <c r="Q20" s="123" t="e">
        <f t="shared" si="7"/>
        <v>#REF!</v>
      </c>
      <c r="R20" s="126">
        <v>0</v>
      </c>
      <c r="S20" s="127" t="e">
        <f t="shared" si="8"/>
        <v>#REF!</v>
      </c>
      <c r="T20" s="126">
        <v>0</v>
      </c>
      <c r="U20" s="123" t="e">
        <f t="shared" si="9"/>
        <v>#REF!</v>
      </c>
      <c r="V20" s="126">
        <v>0</v>
      </c>
      <c r="W20" s="127" t="e">
        <f t="shared" si="10"/>
        <v>#REF!</v>
      </c>
      <c r="X20" s="126">
        <v>0</v>
      </c>
      <c r="Y20" s="123" t="e">
        <f t="shared" si="11"/>
        <v>#REF!</v>
      </c>
      <c r="Z20" s="126">
        <v>0</v>
      </c>
      <c r="AA20" s="123" t="e">
        <f t="shared" si="12"/>
        <v>#REF!</v>
      </c>
      <c r="AB20" s="126">
        <v>0</v>
      </c>
      <c r="AC20" s="408">
        <f t="shared" si="13"/>
        <v>100</v>
      </c>
    </row>
    <row r="21" spans="1:29" s="141" customFormat="1" ht="15" x14ac:dyDescent="0.2">
      <c r="A21" s="103" t="s">
        <v>243</v>
      </c>
      <c r="B21" s="27" t="e">
        <f>Drenagem!#REF!</f>
        <v>#REF!</v>
      </c>
      <c r="C21" s="16" t="e">
        <f>Drenagem!#REF!</f>
        <v>#REF!</v>
      </c>
      <c r="D21" s="106" t="e">
        <f t="shared" si="0"/>
        <v>#REF!</v>
      </c>
      <c r="E21" s="123" t="e">
        <f t="shared" si="1"/>
        <v>#REF!</v>
      </c>
      <c r="F21" s="124">
        <v>0</v>
      </c>
      <c r="G21" s="123" t="e">
        <f t="shared" si="2"/>
        <v>#REF!</v>
      </c>
      <c r="H21" s="125">
        <v>100</v>
      </c>
      <c r="I21" s="123" t="e">
        <f t="shared" si="3"/>
        <v>#REF!</v>
      </c>
      <c r="J21" s="126">
        <v>0</v>
      </c>
      <c r="K21" s="127" t="e">
        <f t="shared" si="4"/>
        <v>#REF!</v>
      </c>
      <c r="L21" s="126">
        <v>0</v>
      </c>
      <c r="M21" s="123" t="e">
        <f t="shared" si="5"/>
        <v>#REF!</v>
      </c>
      <c r="N21" s="126">
        <v>0</v>
      </c>
      <c r="O21" s="127" t="e">
        <f t="shared" si="6"/>
        <v>#REF!</v>
      </c>
      <c r="P21" s="126">
        <v>0</v>
      </c>
      <c r="Q21" s="123" t="e">
        <f t="shared" si="7"/>
        <v>#REF!</v>
      </c>
      <c r="R21" s="126">
        <v>0</v>
      </c>
      <c r="S21" s="127" t="e">
        <f t="shared" si="8"/>
        <v>#REF!</v>
      </c>
      <c r="T21" s="126">
        <v>0</v>
      </c>
      <c r="U21" s="123" t="e">
        <f t="shared" si="9"/>
        <v>#REF!</v>
      </c>
      <c r="V21" s="126">
        <v>0</v>
      </c>
      <c r="W21" s="127" t="e">
        <f t="shared" si="10"/>
        <v>#REF!</v>
      </c>
      <c r="X21" s="126">
        <v>0</v>
      </c>
      <c r="Y21" s="123" t="e">
        <f t="shared" si="11"/>
        <v>#REF!</v>
      </c>
      <c r="Z21" s="126">
        <v>0</v>
      </c>
      <c r="AA21" s="123" t="e">
        <f t="shared" si="12"/>
        <v>#REF!</v>
      </c>
      <c r="AB21" s="126">
        <v>0</v>
      </c>
      <c r="AC21" s="408">
        <f t="shared" si="13"/>
        <v>100</v>
      </c>
    </row>
    <row r="22" spans="1:29" s="141" customFormat="1" ht="15" x14ac:dyDescent="0.2">
      <c r="A22" s="103" t="s">
        <v>249</v>
      </c>
      <c r="B22" s="48" t="e">
        <f>Drenagem!#REF!</f>
        <v>#REF!</v>
      </c>
      <c r="C22" s="16" t="e">
        <f>Drenagem!#REF!</f>
        <v>#REF!</v>
      </c>
      <c r="D22" s="106" t="e">
        <f t="shared" si="0"/>
        <v>#REF!</v>
      </c>
      <c r="E22" s="123" t="e">
        <f t="shared" si="1"/>
        <v>#REF!</v>
      </c>
      <c r="F22" s="124">
        <v>0</v>
      </c>
      <c r="G22" s="123" t="e">
        <f t="shared" si="2"/>
        <v>#REF!</v>
      </c>
      <c r="H22" s="125">
        <v>100</v>
      </c>
      <c r="I22" s="123" t="e">
        <f t="shared" si="3"/>
        <v>#REF!</v>
      </c>
      <c r="J22" s="126">
        <v>0</v>
      </c>
      <c r="K22" s="127" t="e">
        <f t="shared" si="4"/>
        <v>#REF!</v>
      </c>
      <c r="L22" s="126">
        <v>0</v>
      </c>
      <c r="M22" s="123" t="e">
        <f t="shared" si="5"/>
        <v>#REF!</v>
      </c>
      <c r="N22" s="126">
        <v>0</v>
      </c>
      <c r="O22" s="127" t="e">
        <f t="shared" si="6"/>
        <v>#REF!</v>
      </c>
      <c r="P22" s="126">
        <v>0</v>
      </c>
      <c r="Q22" s="123" t="e">
        <f t="shared" si="7"/>
        <v>#REF!</v>
      </c>
      <c r="R22" s="126">
        <v>0</v>
      </c>
      <c r="S22" s="127" t="e">
        <f t="shared" si="8"/>
        <v>#REF!</v>
      </c>
      <c r="T22" s="126">
        <v>0</v>
      </c>
      <c r="U22" s="123" t="e">
        <f t="shared" si="9"/>
        <v>#REF!</v>
      </c>
      <c r="V22" s="126">
        <v>0</v>
      </c>
      <c r="W22" s="127" t="e">
        <f t="shared" si="10"/>
        <v>#REF!</v>
      </c>
      <c r="X22" s="126">
        <v>0</v>
      </c>
      <c r="Y22" s="123" t="e">
        <f t="shared" si="11"/>
        <v>#REF!</v>
      </c>
      <c r="Z22" s="126">
        <v>0</v>
      </c>
      <c r="AA22" s="123" t="e">
        <f t="shared" si="12"/>
        <v>#REF!</v>
      </c>
      <c r="AB22" s="126">
        <v>0</v>
      </c>
      <c r="AC22" s="408">
        <f t="shared" si="13"/>
        <v>100</v>
      </c>
    </row>
    <row r="23" spans="1:29" s="141" customFormat="1" ht="15" x14ac:dyDescent="0.2">
      <c r="A23" s="103" t="s">
        <v>263</v>
      </c>
      <c r="B23" s="48" t="e">
        <f>Drenagem!#REF!</f>
        <v>#REF!</v>
      </c>
      <c r="C23" s="16" t="e">
        <f>Drenagem!#REF!</f>
        <v>#REF!</v>
      </c>
      <c r="D23" s="106" t="e">
        <f t="shared" si="0"/>
        <v>#REF!</v>
      </c>
      <c r="E23" s="123" t="e">
        <f t="shared" si="1"/>
        <v>#REF!</v>
      </c>
      <c r="F23" s="124">
        <v>0</v>
      </c>
      <c r="G23" s="123" t="e">
        <f t="shared" si="2"/>
        <v>#REF!</v>
      </c>
      <c r="H23" s="125">
        <v>100</v>
      </c>
      <c r="I23" s="123" t="e">
        <f t="shared" si="3"/>
        <v>#REF!</v>
      </c>
      <c r="J23" s="126">
        <v>0</v>
      </c>
      <c r="K23" s="127" t="e">
        <f t="shared" si="4"/>
        <v>#REF!</v>
      </c>
      <c r="L23" s="126">
        <v>0</v>
      </c>
      <c r="M23" s="123" t="e">
        <f t="shared" si="5"/>
        <v>#REF!</v>
      </c>
      <c r="N23" s="126">
        <v>0</v>
      </c>
      <c r="O23" s="127" t="e">
        <f t="shared" si="6"/>
        <v>#REF!</v>
      </c>
      <c r="P23" s="126">
        <v>0</v>
      </c>
      <c r="Q23" s="123" t="e">
        <f t="shared" si="7"/>
        <v>#REF!</v>
      </c>
      <c r="R23" s="126">
        <v>0</v>
      </c>
      <c r="S23" s="127" t="e">
        <f t="shared" si="8"/>
        <v>#REF!</v>
      </c>
      <c r="T23" s="126">
        <v>0</v>
      </c>
      <c r="U23" s="123" t="e">
        <f t="shared" si="9"/>
        <v>#REF!</v>
      </c>
      <c r="V23" s="126">
        <v>0</v>
      </c>
      <c r="W23" s="127" t="e">
        <f t="shared" si="10"/>
        <v>#REF!</v>
      </c>
      <c r="X23" s="126">
        <v>0</v>
      </c>
      <c r="Y23" s="123" t="e">
        <f t="shared" si="11"/>
        <v>#REF!</v>
      </c>
      <c r="Z23" s="126">
        <v>0</v>
      </c>
      <c r="AA23" s="123" t="e">
        <f t="shared" si="12"/>
        <v>#REF!</v>
      </c>
      <c r="AB23" s="126">
        <v>0</v>
      </c>
      <c r="AC23" s="408">
        <f t="shared" si="13"/>
        <v>100</v>
      </c>
    </row>
    <row r="24" spans="1:29" s="141" customFormat="1" ht="15" x14ac:dyDescent="0.2">
      <c r="A24" s="149" t="s">
        <v>296</v>
      </c>
      <c r="B24" s="48" t="e">
        <f>Drenagem!#REF!</f>
        <v>#REF!</v>
      </c>
      <c r="C24" s="16" t="e">
        <f>Drenagem!#REF!</f>
        <v>#REF!</v>
      </c>
      <c r="D24" s="106" t="e">
        <f t="shared" si="0"/>
        <v>#REF!</v>
      </c>
      <c r="E24" s="123" t="e">
        <f t="shared" si="1"/>
        <v>#REF!</v>
      </c>
      <c r="F24" s="124">
        <v>45</v>
      </c>
      <c r="G24" s="123" t="e">
        <f t="shared" si="2"/>
        <v>#REF!</v>
      </c>
      <c r="H24" s="125">
        <v>55</v>
      </c>
      <c r="I24" s="123" t="e">
        <f t="shared" si="3"/>
        <v>#REF!</v>
      </c>
      <c r="J24" s="126">
        <v>0</v>
      </c>
      <c r="K24" s="127" t="e">
        <f t="shared" si="4"/>
        <v>#REF!</v>
      </c>
      <c r="L24" s="126">
        <v>0</v>
      </c>
      <c r="M24" s="123" t="e">
        <f t="shared" si="5"/>
        <v>#REF!</v>
      </c>
      <c r="N24" s="126">
        <v>0</v>
      </c>
      <c r="O24" s="127" t="e">
        <f t="shared" si="6"/>
        <v>#REF!</v>
      </c>
      <c r="P24" s="126">
        <v>0</v>
      </c>
      <c r="Q24" s="123" t="e">
        <f t="shared" si="7"/>
        <v>#REF!</v>
      </c>
      <c r="R24" s="126">
        <v>0</v>
      </c>
      <c r="S24" s="127" t="e">
        <f t="shared" si="8"/>
        <v>#REF!</v>
      </c>
      <c r="T24" s="126">
        <v>0</v>
      </c>
      <c r="U24" s="123" t="e">
        <f t="shared" si="9"/>
        <v>#REF!</v>
      </c>
      <c r="V24" s="126">
        <v>0</v>
      </c>
      <c r="W24" s="127" t="e">
        <f t="shared" si="10"/>
        <v>#REF!</v>
      </c>
      <c r="X24" s="126">
        <v>0</v>
      </c>
      <c r="Y24" s="123" t="e">
        <f t="shared" si="11"/>
        <v>#REF!</v>
      </c>
      <c r="Z24" s="126">
        <v>0</v>
      </c>
      <c r="AA24" s="123" t="e">
        <f t="shared" si="12"/>
        <v>#REF!</v>
      </c>
      <c r="AB24" s="126">
        <v>0</v>
      </c>
      <c r="AC24" s="408">
        <f t="shared" si="13"/>
        <v>100</v>
      </c>
    </row>
    <row r="25" spans="1:29" s="141" customFormat="1" ht="15" x14ac:dyDescent="0.2">
      <c r="A25" s="149"/>
      <c r="B25" s="48"/>
      <c r="C25" s="16"/>
      <c r="D25" s="106"/>
      <c r="E25" s="123"/>
      <c r="F25" s="124"/>
      <c r="G25" s="127"/>
      <c r="H25" s="125"/>
      <c r="I25" s="123"/>
      <c r="J25" s="126"/>
      <c r="K25" s="127"/>
      <c r="L25" s="125"/>
      <c r="M25" s="123"/>
      <c r="N25" s="126"/>
      <c r="O25" s="127"/>
      <c r="P25" s="125"/>
      <c r="Q25" s="123"/>
      <c r="R25" s="126"/>
      <c r="S25" s="127"/>
      <c r="T25" s="125"/>
      <c r="U25" s="123"/>
      <c r="V25" s="126"/>
      <c r="W25" s="127"/>
      <c r="X25" s="125"/>
      <c r="Y25" s="123"/>
      <c r="Z25" s="126"/>
      <c r="AA25" s="127"/>
      <c r="AB25" s="126"/>
      <c r="AC25" s="408"/>
    </row>
    <row r="26" spans="1:29" s="141" customFormat="1" ht="15" x14ac:dyDescent="0.2">
      <c r="A26" s="675" t="s">
        <v>502</v>
      </c>
      <c r="B26" s="676"/>
      <c r="C26" s="24" t="e">
        <f>SUM(C16:C24)</f>
        <v>#REF!</v>
      </c>
      <c r="D26" s="107" t="e">
        <f>SUM(D16:D24)</f>
        <v>#REF!</v>
      </c>
      <c r="E26" s="150" t="e">
        <f>SUM(E16:E24)</f>
        <v>#REF!</v>
      </c>
      <c r="F26" s="151" t="e">
        <f>E26/$C$26</f>
        <v>#REF!</v>
      </c>
      <c r="G26" s="152" t="e">
        <f>SUM(G16:G24)</f>
        <v>#REF!</v>
      </c>
      <c r="H26" s="151" t="e">
        <f>G26/$C$26</f>
        <v>#REF!</v>
      </c>
      <c r="I26" s="150" t="e">
        <f>SUM(I16:I24)</f>
        <v>#REF!</v>
      </c>
      <c r="J26" s="151" t="e">
        <f>I26/$C$26</f>
        <v>#REF!</v>
      </c>
      <c r="K26" s="152" t="e">
        <f>SUM(K16:K24)</f>
        <v>#REF!</v>
      </c>
      <c r="L26" s="151" t="e">
        <f>K26/$C$26</f>
        <v>#REF!</v>
      </c>
      <c r="M26" s="150" t="e">
        <f>SUM(M16:M24)</f>
        <v>#REF!</v>
      </c>
      <c r="N26" s="151" t="e">
        <f>M26/$C$26</f>
        <v>#REF!</v>
      </c>
      <c r="O26" s="152" t="e">
        <f>SUM(O16:O24)</f>
        <v>#REF!</v>
      </c>
      <c r="P26" s="151" t="e">
        <f>O26/$C$26</f>
        <v>#REF!</v>
      </c>
      <c r="Q26" s="150" t="e">
        <f>SUM(Q16:Q24)</f>
        <v>#REF!</v>
      </c>
      <c r="R26" s="151" t="e">
        <f>Q26/$C$26</f>
        <v>#REF!</v>
      </c>
      <c r="S26" s="152" t="e">
        <f>SUM(S16:S24)</f>
        <v>#REF!</v>
      </c>
      <c r="T26" s="151" t="e">
        <f>S26/$C$26</f>
        <v>#REF!</v>
      </c>
      <c r="U26" s="150" t="e">
        <f>SUM(U16:U24)</f>
        <v>#REF!</v>
      </c>
      <c r="V26" s="151" t="e">
        <f>U26/$C$26</f>
        <v>#REF!</v>
      </c>
      <c r="W26" s="152" t="e">
        <f>SUM(W16:W24)</f>
        <v>#REF!</v>
      </c>
      <c r="X26" s="151" t="e">
        <f>W26/$C$26</f>
        <v>#REF!</v>
      </c>
      <c r="Y26" s="150" t="e">
        <f>SUM(Y16:Y24)</f>
        <v>#REF!</v>
      </c>
      <c r="Z26" s="151" t="e">
        <f>Y26/$C$26</f>
        <v>#REF!</v>
      </c>
      <c r="AA26" s="152" t="e">
        <f>SUM(AA16:AA24)</f>
        <v>#REF!</v>
      </c>
      <c r="AB26" s="151" t="e">
        <f>AA26/$C$26</f>
        <v>#REF!</v>
      </c>
    </row>
    <row r="27" spans="1:29" s="141" customFormat="1" ht="15" x14ac:dyDescent="0.2">
      <c r="A27" s="675" t="s">
        <v>503</v>
      </c>
      <c r="B27" s="676"/>
      <c r="C27" s="17"/>
      <c r="D27" s="153"/>
      <c r="E27" s="150" t="e">
        <f>SUM(E26)</f>
        <v>#REF!</v>
      </c>
      <c r="F27" s="151" t="e">
        <f>E27/C26</f>
        <v>#REF!</v>
      </c>
      <c r="G27" s="152" t="e">
        <f t="shared" ref="G27:AB27" si="14">E27+G26</f>
        <v>#REF!</v>
      </c>
      <c r="H27" s="153" t="e">
        <f t="shared" si="14"/>
        <v>#REF!</v>
      </c>
      <c r="I27" s="150" t="e">
        <f t="shared" si="14"/>
        <v>#REF!</v>
      </c>
      <c r="J27" s="151" t="e">
        <f t="shared" si="14"/>
        <v>#REF!</v>
      </c>
      <c r="K27" s="152" t="e">
        <f t="shared" si="14"/>
        <v>#REF!</v>
      </c>
      <c r="L27" s="153" t="e">
        <f t="shared" si="14"/>
        <v>#REF!</v>
      </c>
      <c r="M27" s="150" t="e">
        <f t="shared" si="14"/>
        <v>#REF!</v>
      </c>
      <c r="N27" s="151" t="e">
        <f t="shared" si="14"/>
        <v>#REF!</v>
      </c>
      <c r="O27" s="152" t="e">
        <f t="shared" si="14"/>
        <v>#REF!</v>
      </c>
      <c r="P27" s="153" t="e">
        <f t="shared" si="14"/>
        <v>#REF!</v>
      </c>
      <c r="Q27" s="150" t="e">
        <f t="shared" si="14"/>
        <v>#REF!</v>
      </c>
      <c r="R27" s="151" t="e">
        <f t="shared" si="14"/>
        <v>#REF!</v>
      </c>
      <c r="S27" s="152" t="e">
        <f t="shared" si="14"/>
        <v>#REF!</v>
      </c>
      <c r="T27" s="153" t="e">
        <f t="shared" si="14"/>
        <v>#REF!</v>
      </c>
      <c r="U27" s="150" t="e">
        <f t="shared" si="14"/>
        <v>#REF!</v>
      </c>
      <c r="V27" s="151" t="e">
        <f t="shared" si="14"/>
        <v>#REF!</v>
      </c>
      <c r="W27" s="152" t="e">
        <f t="shared" si="14"/>
        <v>#REF!</v>
      </c>
      <c r="X27" s="153" t="e">
        <f t="shared" si="14"/>
        <v>#REF!</v>
      </c>
      <c r="Y27" s="150" t="e">
        <f t="shared" si="14"/>
        <v>#REF!</v>
      </c>
      <c r="Z27" s="151" t="e">
        <f t="shared" si="14"/>
        <v>#REF!</v>
      </c>
      <c r="AA27" s="152" t="e">
        <f t="shared" si="14"/>
        <v>#REF!</v>
      </c>
      <c r="AB27" s="151" t="e">
        <f t="shared" si="14"/>
        <v>#REF!</v>
      </c>
    </row>
    <row r="28" spans="1:29" ht="15.75" thickBot="1" x14ac:dyDescent="0.3">
      <c r="A28" s="677" t="str">
        <f>RESUMO!$A$22</f>
        <v>CUIABÁ - MT, 04 DE NOVEMBRO DE 2022</v>
      </c>
      <c r="B28" s="678"/>
      <c r="C28" s="678"/>
      <c r="D28" s="678"/>
      <c r="E28" s="678"/>
      <c r="F28" s="678"/>
      <c r="G28" s="678"/>
      <c r="H28" s="678"/>
      <c r="I28" s="678"/>
      <c r="J28" s="678"/>
      <c r="K28" s="678"/>
      <c r="L28" s="678"/>
      <c r="M28" s="678"/>
      <c r="N28" s="678"/>
      <c r="O28" s="678"/>
      <c r="P28" s="678"/>
      <c r="Q28" s="678"/>
      <c r="R28" s="678"/>
      <c r="S28" s="678"/>
      <c r="T28" s="678"/>
      <c r="U28" s="678"/>
      <c r="V28" s="678"/>
      <c r="W28" s="678"/>
      <c r="X28" s="678"/>
      <c r="Y28" s="678"/>
      <c r="Z28" s="678"/>
      <c r="AA28" s="678"/>
      <c r="AB28" s="679"/>
    </row>
  </sheetData>
  <mergeCells count="20">
    <mergeCell ref="A12:V12"/>
    <mergeCell ref="E13:AB13"/>
    <mergeCell ref="Y14:Z14"/>
    <mergeCell ref="AA14:AB14"/>
    <mergeCell ref="W14:X14"/>
    <mergeCell ref="E14:F14"/>
    <mergeCell ref="G14:H14"/>
    <mergeCell ref="S14:T14"/>
    <mergeCell ref="A26:B26"/>
    <mergeCell ref="Q14:R14"/>
    <mergeCell ref="A28:AB28"/>
    <mergeCell ref="A27:B27"/>
    <mergeCell ref="A13:A15"/>
    <mergeCell ref="B13:B15"/>
    <mergeCell ref="C13:D14"/>
    <mergeCell ref="I14:J14"/>
    <mergeCell ref="K14:L14"/>
    <mergeCell ref="M14:N14"/>
    <mergeCell ref="U14:V14"/>
    <mergeCell ref="O14:P14"/>
  </mergeCells>
  <phoneticPr fontId="14" type="noConversion"/>
  <printOptions horizontalCentered="1"/>
  <pageMargins left="0.19685039370078741" right="0.19685039370078741" top="0.59055118110236227" bottom="0.59055118110236227" header="0.51181102362204722" footer="0.51181102362204722"/>
  <pageSetup paperSize="9" scale="48" orientation="landscape" r:id="rId1"/>
  <headerFooter alignWithMargins="0">
    <oddHeader>Página &amp;P de &amp;N</oddHeader>
    <oddFooter>&amp;C&amp;F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25"/>
  <sheetViews>
    <sheetView showGridLines="0" view="pageBreakPreview" zoomScaleNormal="100" zoomScaleSheetLayoutView="100" workbookViewId="0">
      <selection activeCell="D4" sqref="D4:G4"/>
    </sheetView>
  </sheetViews>
  <sheetFormatPr defaultColWidth="9.140625" defaultRowHeight="15" x14ac:dyDescent="0.25"/>
  <cols>
    <col min="1" max="1" width="14.28515625" style="380" bestFit="1" customWidth="1"/>
    <col min="2" max="2" width="18.42578125" style="380" bestFit="1" customWidth="1"/>
    <col min="3" max="3" width="92.7109375" style="380" customWidth="1"/>
    <col min="4" max="4" width="7.85546875" style="380" bestFit="1" customWidth="1"/>
    <col min="5" max="5" width="17.42578125" style="380" customWidth="1"/>
    <col min="6" max="6" width="14.85546875" style="380" bestFit="1" customWidth="1"/>
    <col min="7" max="7" width="15" style="380" bestFit="1" customWidth="1"/>
    <col min="8" max="16384" width="9.140625" style="380"/>
  </cols>
  <sheetData>
    <row r="1" spans="1:7" ht="175.5" customHeight="1" x14ac:dyDescent="0.25">
      <c r="A1" s="631" t="s">
        <v>1412</v>
      </c>
      <c r="B1" s="698"/>
      <c r="C1" s="698"/>
      <c r="D1" s="698"/>
      <c r="E1" s="698"/>
      <c r="F1" s="698"/>
      <c r="G1" s="699"/>
    </row>
    <row r="2" spans="1:7" ht="32.25" customHeight="1" x14ac:dyDescent="0.25">
      <c r="A2" s="505" t="str">
        <f>RESUMO!A2</f>
        <v>OBRA:</v>
      </c>
      <c r="B2" s="721" t="str">
        <f>RESUMO!B2</f>
        <v>EXECUÇÃO DE REDE DE DISTRIBUIÇÃO DE MÉDIA TENSÃO, POSTO DE TRANSFORMAÇÃO DE 225KVA E 45KVA- HOSPITAL VETERINÁRIO CENTRO DE REABILITAÇÃO DE ANIMAIS SILVESTRES - CRAS</v>
      </c>
      <c r="C2" s="721"/>
      <c r="D2" s="452" t="str">
        <f>RESUMO!C3</f>
        <v>BDI:</v>
      </c>
      <c r="E2" s="813">
        <f>BDI!D30</f>
        <v>0.22226164190779008</v>
      </c>
      <c r="F2" s="813"/>
      <c r="G2" s="814"/>
    </row>
    <row r="3" spans="1:7" x14ac:dyDescent="0.25">
      <c r="A3" s="505" t="str">
        <f>RESUMO!A3</f>
        <v>ENDEREÇO:</v>
      </c>
      <c r="B3" s="820" t="str">
        <f>RESUMO!B3</f>
        <v>RUA DE ACESSO AO INPE (ATRÁS DA ASSOFT), BAIRRO CENTRO POLITICO ADMINISTRATIVO, CUIABÁ-MT</v>
      </c>
      <c r="C3" s="820"/>
      <c r="D3" s="470" t="str">
        <f>RESUMO!C4</f>
        <v>DATA:</v>
      </c>
      <c r="E3" s="824">
        <f>RESUMO!D4</f>
        <v>44869</v>
      </c>
      <c r="F3" s="824"/>
      <c r="G3" s="825"/>
    </row>
    <row r="4" spans="1:7" ht="34.5" customHeight="1" x14ac:dyDescent="0.25">
      <c r="A4" s="506" t="str">
        <f>RESUMO!A4</f>
        <v>MUNICÍPIO:</v>
      </c>
      <c r="B4" s="807" t="str">
        <f>RESUMO!B4</f>
        <v>CUIABÁ - MT</v>
      </c>
      <c r="C4" s="807"/>
      <c r="D4" s="830" t="str">
        <f>RESUMO!C5</f>
        <v>Boletim SINAPI / JULHO 2022                                     (NÃO DESONERADO)</v>
      </c>
      <c r="E4" s="831"/>
      <c r="F4" s="831"/>
      <c r="G4" s="832"/>
    </row>
    <row r="5" spans="1:7" x14ac:dyDescent="0.25">
      <c r="A5" s="505" t="str">
        <f>RESUMO!A5</f>
        <v>ASSUNTO:</v>
      </c>
      <c r="B5" s="820" t="str">
        <f>RESUMO!B5</f>
        <v xml:space="preserve">PROJETO ELÉTRICO DE REDE DE DISTRIBUIÇÃO DE MÉDIA TENSÃO, POSTO DE TRANSFORMAÇÃO DE 225KVA E 45KVA </v>
      </c>
      <c r="C5" s="820"/>
      <c r="D5" s="820"/>
      <c r="E5" s="820"/>
      <c r="F5" s="820"/>
      <c r="G5" s="833"/>
    </row>
    <row r="6" spans="1:7" x14ac:dyDescent="0.25">
      <c r="A6" s="724"/>
      <c r="B6" s="725"/>
      <c r="C6" s="725"/>
      <c r="D6" s="725"/>
      <c r="E6" s="725"/>
      <c r="F6" s="725"/>
      <c r="G6" s="726"/>
    </row>
    <row r="7" spans="1:7" x14ac:dyDescent="0.25">
      <c r="A7" s="718" t="s">
        <v>784</v>
      </c>
      <c r="B7" s="719"/>
      <c r="C7" s="719"/>
      <c r="D7" s="719"/>
      <c r="E7" s="719"/>
      <c r="F7" s="719"/>
      <c r="G7" s="720"/>
    </row>
    <row r="8" spans="1:7" x14ac:dyDescent="0.25">
      <c r="A8" s="727" t="s">
        <v>1421</v>
      </c>
      <c r="B8" s="728"/>
      <c r="C8" s="728"/>
      <c r="D8" s="728"/>
      <c r="E8" s="728"/>
      <c r="F8" s="728"/>
      <c r="G8" s="729"/>
    </row>
    <row r="9" spans="1:7" x14ac:dyDescent="0.25">
      <c r="A9" s="727"/>
      <c r="B9" s="728"/>
      <c r="C9" s="728"/>
      <c r="D9" s="728"/>
      <c r="E9" s="728"/>
      <c r="F9" s="728"/>
      <c r="G9" s="729"/>
    </row>
    <row r="10" spans="1:7" x14ac:dyDescent="0.25">
      <c r="A10" s="790" t="s">
        <v>1423</v>
      </c>
      <c r="B10" s="791"/>
      <c r="C10" s="834" t="s">
        <v>777</v>
      </c>
      <c r="D10" s="834"/>
      <c r="E10" s="834"/>
      <c r="F10" s="834"/>
      <c r="G10" s="835"/>
    </row>
    <row r="11" spans="1:7" x14ac:dyDescent="0.25">
      <c r="A11" s="507"/>
      <c r="B11" s="485"/>
      <c r="C11" s="486"/>
      <c r="D11" s="538"/>
      <c r="E11" s="471"/>
      <c r="F11" s="487"/>
      <c r="G11" s="508"/>
    </row>
    <row r="12" spans="1:7" x14ac:dyDescent="0.25">
      <c r="A12" s="507" t="s">
        <v>785</v>
      </c>
      <c r="B12" s="485" t="s">
        <v>786</v>
      </c>
      <c r="C12" s="489" t="s">
        <v>787</v>
      </c>
      <c r="D12" s="490" t="s">
        <v>788</v>
      </c>
      <c r="E12" s="491" t="s">
        <v>789</v>
      </c>
      <c r="F12" s="492" t="s">
        <v>790</v>
      </c>
      <c r="G12" s="509" t="s">
        <v>791</v>
      </c>
    </row>
    <row r="13" spans="1:7" ht="29.25" x14ac:dyDescent="0.25">
      <c r="A13" s="545">
        <v>91677</v>
      </c>
      <c r="B13" s="546" t="s">
        <v>792</v>
      </c>
      <c r="C13" s="456" t="s">
        <v>1600</v>
      </c>
      <c r="D13" s="457" t="s">
        <v>793</v>
      </c>
      <c r="E13" s="493">
        <v>64</v>
      </c>
      <c r="F13" s="459">
        <v>90.84</v>
      </c>
      <c r="G13" s="510">
        <f>TRUNC(E13*F13,2)</f>
        <v>5813.76</v>
      </c>
    </row>
    <row r="14" spans="1:7" x14ac:dyDescent="0.25">
      <c r="A14" s="545">
        <v>93572</v>
      </c>
      <c r="B14" s="546" t="s">
        <v>792</v>
      </c>
      <c r="C14" s="456" t="s">
        <v>794</v>
      </c>
      <c r="D14" s="457" t="s">
        <v>795</v>
      </c>
      <c r="E14" s="493">
        <v>3</v>
      </c>
      <c r="F14" s="459">
        <v>4507.9399999999996</v>
      </c>
      <c r="G14" s="510">
        <f>TRUNC(E14*F14,2)</f>
        <v>13523.82</v>
      </c>
    </row>
    <row r="15" spans="1:7" x14ac:dyDescent="0.25">
      <c r="A15" s="788" t="s">
        <v>21</v>
      </c>
      <c r="B15" s="789"/>
      <c r="C15" s="789"/>
      <c r="D15" s="789"/>
      <c r="E15" s="789"/>
      <c r="F15" s="789"/>
      <c r="G15" s="511">
        <f>SUM(G13:G14)</f>
        <v>19337.580000000002</v>
      </c>
    </row>
    <row r="16" spans="1:7" x14ac:dyDescent="0.25">
      <c r="A16" s="797" t="s">
        <v>796</v>
      </c>
      <c r="B16" s="786"/>
      <c r="C16" s="786"/>
      <c r="D16" s="786"/>
      <c r="E16" s="786"/>
      <c r="F16" s="786"/>
      <c r="G16" s="512">
        <f>G15</f>
        <v>19337.580000000002</v>
      </c>
    </row>
    <row r="17" spans="1:7" x14ac:dyDescent="0.25">
      <c r="A17" s="806"/>
      <c r="B17" s="807"/>
      <c r="C17" s="807"/>
      <c r="D17" s="807"/>
      <c r="E17" s="807"/>
      <c r="F17" s="807"/>
      <c r="G17" s="808"/>
    </row>
    <row r="18" spans="1:7" ht="15" customHeight="1" x14ac:dyDescent="0.25">
      <c r="A18" s="821" t="s">
        <v>1254</v>
      </c>
      <c r="B18" s="822"/>
      <c r="C18" s="822"/>
      <c r="D18" s="822"/>
      <c r="E18" s="822"/>
      <c r="F18" s="822"/>
      <c r="G18" s="823"/>
    </row>
    <row r="19" spans="1:7" x14ac:dyDescent="0.25">
      <c r="A19" s="794"/>
      <c r="B19" s="795"/>
      <c r="C19" s="795"/>
      <c r="D19" s="795"/>
      <c r="E19" s="795"/>
      <c r="F19" s="795"/>
      <c r="G19" s="796"/>
    </row>
    <row r="20" spans="1:7" x14ac:dyDescent="0.25">
      <c r="A20" s="843" t="s">
        <v>1424</v>
      </c>
      <c r="B20" s="834"/>
      <c r="C20" s="834" t="s">
        <v>797</v>
      </c>
      <c r="D20" s="834"/>
      <c r="E20" s="834"/>
      <c r="F20" s="834"/>
      <c r="G20" s="835"/>
    </row>
    <row r="21" spans="1:7" x14ac:dyDescent="0.25">
      <c r="A21" s="780"/>
      <c r="B21" s="781"/>
      <c r="C21" s="781"/>
      <c r="D21" s="781"/>
      <c r="E21" s="781"/>
      <c r="F21" s="781"/>
      <c r="G21" s="782"/>
    </row>
    <row r="22" spans="1:7" x14ac:dyDescent="0.25">
      <c r="A22" s="507" t="s">
        <v>785</v>
      </c>
      <c r="B22" s="485" t="s">
        <v>786</v>
      </c>
      <c r="C22" s="489" t="s">
        <v>787</v>
      </c>
      <c r="D22" s="490" t="s">
        <v>788</v>
      </c>
      <c r="E22" s="491" t="s">
        <v>789</v>
      </c>
      <c r="F22" s="492" t="s">
        <v>790</v>
      </c>
      <c r="G22" s="509" t="s">
        <v>791</v>
      </c>
    </row>
    <row r="23" spans="1:7" x14ac:dyDescent="0.25">
      <c r="A23" s="545">
        <v>88262</v>
      </c>
      <c r="B23" s="546" t="s">
        <v>792</v>
      </c>
      <c r="C23" s="456" t="s">
        <v>798</v>
      </c>
      <c r="D23" s="542" t="s">
        <v>799</v>
      </c>
      <c r="E23" s="495">
        <v>0.16919999999999999</v>
      </c>
      <c r="F23" s="543">
        <v>22.16</v>
      </c>
      <c r="G23" s="514">
        <f>TRUNC(F23*E23,2)</f>
        <v>3.74</v>
      </c>
    </row>
    <row r="24" spans="1:7" x14ac:dyDescent="0.25">
      <c r="A24" s="545">
        <v>88316</v>
      </c>
      <c r="B24" s="546" t="s">
        <v>792</v>
      </c>
      <c r="C24" s="456" t="s">
        <v>800</v>
      </c>
      <c r="D24" s="542" t="s">
        <v>799</v>
      </c>
      <c r="E24" s="575">
        <v>2.47E-2</v>
      </c>
      <c r="F24" s="543">
        <v>17.82</v>
      </c>
      <c r="G24" s="514">
        <f>TRUNC(F24*E24,2)</f>
        <v>0.44</v>
      </c>
    </row>
    <row r="25" spans="1:7" x14ac:dyDescent="0.25">
      <c r="A25" s="788" t="s">
        <v>21</v>
      </c>
      <c r="B25" s="789"/>
      <c r="C25" s="789"/>
      <c r="D25" s="789"/>
      <c r="E25" s="789"/>
      <c r="F25" s="789"/>
      <c r="G25" s="511">
        <f>SUM(G23:G24)</f>
        <v>4.1800000000000006</v>
      </c>
    </row>
    <row r="26" spans="1:7" x14ac:dyDescent="0.25">
      <c r="A26" s="780"/>
      <c r="B26" s="781"/>
      <c r="C26" s="781"/>
      <c r="D26" s="781"/>
      <c r="E26" s="781"/>
      <c r="F26" s="781"/>
      <c r="G26" s="782"/>
    </row>
    <row r="27" spans="1:7" x14ac:dyDescent="0.25">
      <c r="A27" s="507" t="s">
        <v>785</v>
      </c>
      <c r="B27" s="485" t="s">
        <v>786</v>
      </c>
      <c r="C27" s="489" t="s">
        <v>801</v>
      </c>
      <c r="D27" s="490" t="s">
        <v>788</v>
      </c>
      <c r="E27" s="496" t="s">
        <v>789</v>
      </c>
      <c r="F27" s="492" t="s">
        <v>790</v>
      </c>
      <c r="G27" s="509" t="s">
        <v>791</v>
      </c>
    </row>
    <row r="28" spans="1:7" ht="30" x14ac:dyDescent="0.25">
      <c r="A28" s="515">
        <v>4417</v>
      </c>
      <c r="B28" s="497" t="s">
        <v>802</v>
      </c>
      <c r="C28" s="456" t="s">
        <v>803</v>
      </c>
      <c r="D28" s="539" t="s">
        <v>275</v>
      </c>
      <c r="E28" s="498">
        <v>1</v>
      </c>
      <c r="F28" s="540">
        <v>6.8</v>
      </c>
      <c r="G28" s="514">
        <f>TRUNC(F28*E28,2)</f>
        <v>6.8</v>
      </c>
    </row>
    <row r="29" spans="1:7" ht="30" x14ac:dyDescent="0.25">
      <c r="A29" s="515">
        <v>4491</v>
      </c>
      <c r="B29" s="497" t="s">
        <v>802</v>
      </c>
      <c r="C29" s="456" t="s">
        <v>1181</v>
      </c>
      <c r="D29" s="539" t="s">
        <v>275</v>
      </c>
      <c r="E29" s="498">
        <v>4</v>
      </c>
      <c r="F29" s="540">
        <v>9.9499999999999993</v>
      </c>
      <c r="G29" s="514">
        <f>TRUNC(F29*E29,2)</f>
        <v>39.799999999999997</v>
      </c>
    </row>
    <row r="30" spans="1:7" ht="30" x14ac:dyDescent="0.25">
      <c r="A30" s="515">
        <v>4813</v>
      </c>
      <c r="B30" s="497" t="s">
        <v>802</v>
      </c>
      <c r="C30" s="456" t="s">
        <v>804</v>
      </c>
      <c r="D30" s="539" t="s">
        <v>512</v>
      </c>
      <c r="E30" s="498">
        <v>1</v>
      </c>
      <c r="F30" s="540">
        <v>445</v>
      </c>
      <c r="G30" s="514">
        <f>TRUNC(F30*E30,2)</f>
        <v>445</v>
      </c>
    </row>
    <row r="31" spans="1:7" x14ac:dyDescent="0.25">
      <c r="A31" s="515">
        <v>5075</v>
      </c>
      <c r="B31" s="497" t="s">
        <v>802</v>
      </c>
      <c r="C31" s="456" t="s">
        <v>805</v>
      </c>
      <c r="D31" s="539" t="s">
        <v>221</v>
      </c>
      <c r="E31" s="498">
        <v>0.11</v>
      </c>
      <c r="F31" s="540">
        <v>26.28</v>
      </c>
      <c r="G31" s="514">
        <f>TRUNC(F31*E31,2)</f>
        <v>2.89</v>
      </c>
    </row>
    <row r="32" spans="1:7" x14ac:dyDescent="0.25">
      <c r="A32" s="788" t="s">
        <v>21</v>
      </c>
      <c r="B32" s="789"/>
      <c r="C32" s="789"/>
      <c r="D32" s="789"/>
      <c r="E32" s="789"/>
      <c r="F32" s="789"/>
      <c r="G32" s="511">
        <f>SUM(G28:G31)</f>
        <v>494.49</v>
      </c>
    </row>
    <row r="33" spans="1:7" x14ac:dyDescent="0.25">
      <c r="A33" s="797" t="s">
        <v>796</v>
      </c>
      <c r="B33" s="786"/>
      <c r="C33" s="786"/>
      <c r="D33" s="786"/>
      <c r="E33" s="786"/>
      <c r="F33" s="786"/>
      <c r="G33" s="512">
        <f>G25+G32</f>
        <v>498.67</v>
      </c>
    </row>
    <row r="34" spans="1:7" ht="27.75" customHeight="1" x14ac:dyDescent="0.25">
      <c r="A34" s="772" t="s">
        <v>1675</v>
      </c>
      <c r="B34" s="817"/>
      <c r="C34" s="817"/>
      <c r="D34" s="817"/>
      <c r="E34" s="817"/>
      <c r="F34" s="817"/>
      <c r="G34" s="818"/>
    </row>
    <row r="35" spans="1:7" x14ac:dyDescent="0.25">
      <c r="A35" s="819"/>
      <c r="B35" s="817"/>
      <c r="C35" s="817"/>
      <c r="D35" s="817"/>
      <c r="E35" s="817"/>
      <c r="F35" s="817"/>
      <c r="G35" s="818"/>
    </row>
    <row r="36" spans="1:7" x14ac:dyDescent="0.25">
      <c r="A36" s="794"/>
      <c r="B36" s="795"/>
      <c r="C36" s="795"/>
      <c r="D36" s="795"/>
      <c r="E36" s="795"/>
      <c r="F36" s="795"/>
      <c r="G36" s="796"/>
    </row>
    <row r="37" spans="1:7" x14ac:dyDescent="0.25">
      <c r="A37" s="790" t="s">
        <v>1425</v>
      </c>
      <c r="B37" s="791"/>
      <c r="C37" s="798" t="str">
        <f>C45</f>
        <v>SAPATILHA EM ACO GALVANIZADO PARA CABOS COM DIAMETRO NOMINAL ATE 5/8"</v>
      </c>
      <c r="D37" s="798"/>
      <c r="E37" s="798"/>
      <c r="F37" s="798"/>
      <c r="G37" s="799"/>
    </row>
    <row r="38" spans="1:7" x14ac:dyDescent="0.25">
      <c r="A38" s="780"/>
      <c r="B38" s="781"/>
      <c r="C38" s="781"/>
      <c r="D38" s="781"/>
      <c r="E38" s="781"/>
      <c r="F38" s="781"/>
      <c r="G38" s="782"/>
    </row>
    <row r="39" spans="1:7" x14ac:dyDescent="0.25">
      <c r="A39" s="507" t="s">
        <v>785</v>
      </c>
      <c r="B39" s="485" t="s">
        <v>786</v>
      </c>
      <c r="C39" s="489" t="s">
        <v>787</v>
      </c>
      <c r="D39" s="490" t="s">
        <v>788</v>
      </c>
      <c r="E39" s="491" t="s">
        <v>789</v>
      </c>
      <c r="F39" s="492" t="s">
        <v>790</v>
      </c>
      <c r="G39" s="509" t="s">
        <v>791</v>
      </c>
    </row>
    <row r="40" spans="1:7" x14ac:dyDescent="0.25">
      <c r="A40" s="545">
        <v>88247</v>
      </c>
      <c r="B40" s="546" t="s">
        <v>792</v>
      </c>
      <c r="C40" s="499" t="s">
        <v>806</v>
      </c>
      <c r="D40" s="542" t="s">
        <v>799</v>
      </c>
      <c r="E40" s="495">
        <v>0.15</v>
      </c>
      <c r="F40" s="543">
        <v>19.2</v>
      </c>
      <c r="G40" s="514">
        <f>TRUNC(F40*E40,2)</f>
        <v>2.88</v>
      </c>
    </row>
    <row r="41" spans="1:7" x14ac:dyDescent="0.25">
      <c r="A41" s="545">
        <v>88264</v>
      </c>
      <c r="B41" s="546" t="s">
        <v>792</v>
      </c>
      <c r="C41" s="499" t="s">
        <v>807</v>
      </c>
      <c r="D41" s="542" t="s">
        <v>799</v>
      </c>
      <c r="E41" s="495">
        <v>0.15</v>
      </c>
      <c r="F41" s="543">
        <v>23.24</v>
      </c>
      <c r="G41" s="514">
        <f>TRUNC(F41*E41,2)</f>
        <v>3.48</v>
      </c>
    </row>
    <row r="42" spans="1:7" x14ac:dyDescent="0.25">
      <c r="A42" s="788" t="s">
        <v>21</v>
      </c>
      <c r="B42" s="789"/>
      <c r="C42" s="789"/>
      <c r="D42" s="789"/>
      <c r="E42" s="789"/>
      <c r="F42" s="789"/>
      <c r="G42" s="511">
        <f>SUM(G40:G41)</f>
        <v>6.3599999999999994</v>
      </c>
    </row>
    <row r="43" spans="1:7" x14ac:dyDescent="0.25">
      <c r="A43" s="780"/>
      <c r="B43" s="781"/>
      <c r="C43" s="781"/>
      <c r="D43" s="781"/>
      <c r="E43" s="781"/>
      <c r="F43" s="781"/>
      <c r="G43" s="782"/>
    </row>
    <row r="44" spans="1:7" x14ac:dyDescent="0.25">
      <c r="A44" s="507" t="s">
        <v>785</v>
      </c>
      <c r="B44" s="485" t="s">
        <v>786</v>
      </c>
      <c r="C44" s="489" t="s">
        <v>801</v>
      </c>
      <c r="D44" s="490" t="s">
        <v>788</v>
      </c>
      <c r="E44" s="496" t="s">
        <v>789</v>
      </c>
      <c r="F44" s="492" t="s">
        <v>790</v>
      </c>
      <c r="G44" s="509" t="s">
        <v>791</v>
      </c>
    </row>
    <row r="45" spans="1:7" x14ac:dyDescent="0.25">
      <c r="A45" s="545">
        <v>7581</v>
      </c>
      <c r="B45" s="546" t="s">
        <v>817</v>
      </c>
      <c r="C45" s="499" t="s">
        <v>819</v>
      </c>
      <c r="D45" s="539" t="s">
        <v>62</v>
      </c>
      <c r="E45" s="498">
        <v>1</v>
      </c>
      <c r="F45" s="540">
        <v>4.9000000000000004</v>
      </c>
      <c r="G45" s="510">
        <f t="shared" ref="G45" si="0">TRUNC(E45*F45,2)</f>
        <v>4.9000000000000004</v>
      </c>
    </row>
    <row r="46" spans="1:7" x14ac:dyDescent="0.25">
      <c r="A46" s="815" t="s">
        <v>21</v>
      </c>
      <c r="B46" s="816"/>
      <c r="C46" s="816"/>
      <c r="D46" s="816"/>
      <c r="E46" s="816"/>
      <c r="F46" s="816"/>
      <c r="G46" s="532">
        <f>SUM(G45)</f>
        <v>4.9000000000000004</v>
      </c>
    </row>
    <row r="47" spans="1:7" x14ac:dyDescent="0.25">
      <c r="A47" s="797" t="s">
        <v>796</v>
      </c>
      <c r="B47" s="786"/>
      <c r="C47" s="786"/>
      <c r="D47" s="786"/>
      <c r="E47" s="786"/>
      <c r="F47" s="786"/>
      <c r="G47" s="512">
        <f>G42+G45</f>
        <v>11.26</v>
      </c>
    </row>
    <row r="48" spans="1:7" ht="15.75" customHeight="1" x14ac:dyDescent="0.25">
      <c r="A48" s="806"/>
      <c r="B48" s="807"/>
      <c r="C48" s="807"/>
      <c r="D48" s="807"/>
      <c r="E48" s="807"/>
      <c r="F48" s="807"/>
      <c r="G48" s="808"/>
    </row>
    <row r="49" spans="1:7" x14ac:dyDescent="0.25">
      <c r="A49" s="772" t="s">
        <v>1214</v>
      </c>
      <c r="B49" s="773"/>
      <c r="C49" s="773"/>
      <c r="D49" s="773"/>
      <c r="E49" s="773"/>
      <c r="F49" s="773"/>
      <c r="G49" s="774"/>
    </row>
    <row r="50" spans="1:7" x14ac:dyDescent="0.25">
      <c r="A50" s="772"/>
      <c r="B50" s="773"/>
      <c r="C50" s="773"/>
      <c r="D50" s="773"/>
      <c r="E50" s="773"/>
      <c r="F50" s="773"/>
      <c r="G50" s="774"/>
    </row>
    <row r="51" spans="1:7" x14ac:dyDescent="0.25">
      <c r="A51" s="841"/>
      <c r="B51" s="775"/>
      <c r="C51" s="775"/>
      <c r="D51" s="775"/>
      <c r="E51" s="775"/>
      <c r="F51" s="775"/>
      <c r="G51" s="842"/>
    </row>
    <row r="52" spans="1:7" ht="30" customHeight="1" x14ac:dyDescent="0.25">
      <c r="A52" s="790" t="s">
        <v>1426</v>
      </c>
      <c r="B52" s="791"/>
      <c r="C52" s="826" t="str">
        <f>C60</f>
        <v>PARAFUSO M16 EM ACO GALVANIZADO, COMPRIMENTO = 125 MM, DIAMETRO = 16 MM, ROSCA MAQUINA, CABECA QUADRADA</v>
      </c>
      <c r="D52" s="826"/>
      <c r="E52" s="826"/>
      <c r="F52" s="826"/>
      <c r="G52" s="827"/>
    </row>
    <row r="53" spans="1:7" x14ac:dyDescent="0.25">
      <c r="A53" s="780"/>
      <c r="B53" s="781"/>
      <c r="C53" s="781"/>
      <c r="D53" s="781"/>
      <c r="E53" s="781"/>
      <c r="F53" s="781"/>
      <c r="G53" s="782"/>
    </row>
    <row r="54" spans="1:7" x14ac:dyDescent="0.25">
      <c r="A54" s="507" t="s">
        <v>785</v>
      </c>
      <c r="B54" s="485" t="s">
        <v>786</v>
      </c>
      <c r="C54" s="489" t="s">
        <v>787</v>
      </c>
      <c r="D54" s="490" t="s">
        <v>788</v>
      </c>
      <c r="E54" s="491" t="s">
        <v>789</v>
      </c>
      <c r="F54" s="492" t="s">
        <v>790</v>
      </c>
      <c r="G54" s="509" t="s">
        <v>791</v>
      </c>
    </row>
    <row r="55" spans="1:7" s="381" customFormat="1" x14ac:dyDescent="0.25">
      <c r="A55" s="545">
        <v>88247</v>
      </c>
      <c r="B55" s="546" t="s">
        <v>792</v>
      </c>
      <c r="C55" s="499" t="s">
        <v>806</v>
      </c>
      <c r="D55" s="542" t="s">
        <v>799</v>
      </c>
      <c r="E55" s="495">
        <v>0.08</v>
      </c>
      <c r="F55" s="543">
        <v>19.2</v>
      </c>
      <c r="G55" s="514">
        <f>TRUNC(F55*E55,2)</f>
        <v>1.53</v>
      </c>
    </row>
    <row r="56" spans="1:7" s="381" customFormat="1" x14ac:dyDescent="0.25">
      <c r="A56" s="545">
        <v>88264</v>
      </c>
      <c r="B56" s="546" t="s">
        <v>792</v>
      </c>
      <c r="C56" s="499" t="s">
        <v>807</v>
      </c>
      <c r="D56" s="542" t="s">
        <v>799</v>
      </c>
      <c r="E56" s="495">
        <v>0.08</v>
      </c>
      <c r="F56" s="543">
        <v>23.24</v>
      </c>
      <c r="G56" s="514">
        <f>TRUNC(F56*E56,2)</f>
        <v>1.85</v>
      </c>
    </row>
    <row r="57" spans="1:7" x14ac:dyDescent="0.25">
      <c r="A57" s="788" t="s">
        <v>21</v>
      </c>
      <c r="B57" s="789"/>
      <c r="C57" s="789"/>
      <c r="D57" s="789"/>
      <c r="E57" s="789"/>
      <c r="F57" s="789"/>
      <c r="G57" s="511">
        <f>SUM(G55:G56)</f>
        <v>3.38</v>
      </c>
    </row>
    <row r="58" spans="1:7" s="381" customFormat="1" x14ac:dyDescent="0.25">
      <c r="A58" s="780"/>
      <c r="B58" s="781"/>
      <c r="C58" s="781"/>
      <c r="D58" s="781"/>
      <c r="E58" s="781"/>
      <c r="F58" s="781"/>
      <c r="G58" s="782"/>
    </row>
    <row r="59" spans="1:7" x14ac:dyDescent="0.25">
      <c r="A59" s="507" t="s">
        <v>785</v>
      </c>
      <c r="B59" s="485" t="s">
        <v>786</v>
      </c>
      <c r="C59" s="489" t="s">
        <v>801</v>
      </c>
      <c r="D59" s="490" t="s">
        <v>788</v>
      </c>
      <c r="E59" s="496" t="s">
        <v>789</v>
      </c>
      <c r="F59" s="492" t="s">
        <v>790</v>
      </c>
      <c r="G59" s="509" t="s">
        <v>791</v>
      </c>
    </row>
    <row r="60" spans="1:7" ht="30" x14ac:dyDescent="0.25">
      <c r="A60" s="545">
        <v>430</v>
      </c>
      <c r="B60" s="546" t="s">
        <v>817</v>
      </c>
      <c r="C60" s="499" t="s">
        <v>822</v>
      </c>
      <c r="D60" s="539" t="s">
        <v>62</v>
      </c>
      <c r="E60" s="498">
        <v>1</v>
      </c>
      <c r="F60" s="540">
        <v>8.4499999999999993</v>
      </c>
      <c r="G60" s="510">
        <f t="shared" ref="G60" si="1">TRUNC(E60*F60,2)</f>
        <v>8.4499999999999993</v>
      </c>
    </row>
    <row r="61" spans="1:7" x14ac:dyDescent="0.25">
      <c r="A61" s="815" t="s">
        <v>21</v>
      </c>
      <c r="B61" s="816"/>
      <c r="C61" s="816"/>
      <c r="D61" s="816"/>
      <c r="E61" s="816"/>
      <c r="F61" s="816"/>
      <c r="G61" s="532">
        <f>SUM(G60)</f>
        <v>8.4499999999999993</v>
      </c>
    </row>
    <row r="62" spans="1:7" x14ac:dyDescent="0.25">
      <c r="A62" s="797" t="s">
        <v>796</v>
      </c>
      <c r="B62" s="786"/>
      <c r="C62" s="786"/>
      <c r="D62" s="786"/>
      <c r="E62" s="786"/>
      <c r="F62" s="786"/>
      <c r="G62" s="512">
        <f>G57+G60</f>
        <v>11.829999999999998</v>
      </c>
    </row>
    <row r="63" spans="1:7" s="381" customFormat="1" ht="15.75" customHeight="1" x14ac:dyDescent="0.25">
      <c r="A63" s="806"/>
      <c r="B63" s="807"/>
      <c r="C63" s="807"/>
      <c r="D63" s="807"/>
      <c r="E63" s="807"/>
      <c r="F63" s="807"/>
      <c r="G63" s="808"/>
    </row>
    <row r="64" spans="1:7" s="381" customFormat="1" x14ac:dyDescent="0.25">
      <c r="A64" s="772" t="s">
        <v>1215</v>
      </c>
      <c r="B64" s="773"/>
      <c r="C64" s="773"/>
      <c r="D64" s="773"/>
      <c r="E64" s="773"/>
      <c r="F64" s="773"/>
      <c r="G64" s="774"/>
    </row>
    <row r="65" spans="1:7" s="381" customFormat="1" x14ac:dyDescent="0.25">
      <c r="A65" s="772"/>
      <c r="B65" s="773"/>
      <c r="C65" s="773"/>
      <c r="D65" s="773"/>
      <c r="E65" s="773"/>
      <c r="F65" s="773"/>
      <c r="G65" s="774"/>
    </row>
    <row r="66" spans="1:7" s="381" customFormat="1" x14ac:dyDescent="0.25">
      <c r="A66" s="841"/>
      <c r="B66" s="775"/>
      <c r="C66" s="775"/>
      <c r="D66" s="775"/>
      <c r="E66" s="775"/>
      <c r="F66" s="775"/>
      <c r="G66" s="842"/>
    </row>
    <row r="67" spans="1:7" s="381" customFormat="1" ht="27.75" customHeight="1" x14ac:dyDescent="0.25">
      <c r="A67" s="790" t="s">
        <v>1427</v>
      </c>
      <c r="B67" s="791"/>
      <c r="C67" s="826" t="str">
        <f>C75</f>
        <v>PARAFUSO M16 EM ACO GALVANIZADO, COMPRIMENTO = 200 MM, DIAMETRO = 16 MM, ROSCA MAQUINA, CABECA QUADRADA</v>
      </c>
      <c r="D67" s="826"/>
      <c r="E67" s="826"/>
      <c r="F67" s="826"/>
      <c r="G67" s="827"/>
    </row>
    <row r="68" spans="1:7" x14ac:dyDescent="0.25">
      <c r="A68" s="780"/>
      <c r="B68" s="781"/>
      <c r="C68" s="781"/>
      <c r="D68" s="781"/>
      <c r="E68" s="781"/>
      <c r="F68" s="781"/>
      <c r="G68" s="782"/>
    </row>
    <row r="69" spans="1:7" x14ac:dyDescent="0.25">
      <c r="A69" s="507" t="s">
        <v>785</v>
      </c>
      <c r="B69" s="485" t="s">
        <v>786</v>
      </c>
      <c r="C69" s="489" t="s">
        <v>787</v>
      </c>
      <c r="D69" s="490" t="s">
        <v>788</v>
      </c>
      <c r="E69" s="491" t="s">
        <v>789</v>
      </c>
      <c r="F69" s="492" t="s">
        <v>790</v>
      </c>
      <c r="G69" s="509" t="s">
        <v>791</v>
      </c>
    </row>
    <row r="70" spans="1:7" x14ac:dyDescent="0.25">
      <c r="A70" s="545">
        <v>88247</v>
      </c>
      <c r="B70" s="546" t="s">
        <v>792</v>
      </c>
      <c r="C70" s="499" t="s">
        <v>806</v>
      </c>
      <c r="D70" s="542" t="s">
        <v>799</v>
      </c>
      <c r="E70" s="495">
        <v>0.08</v>
      </c>
      <c r="F70" s="543">
        <v>19.2</v>
      </c>
      <c r="G70" s="514">
        <f>TRUNC(F70*E70,2)</f>
        <v>1.53</v>
      </c>
    </row>
    <row r="71" spans="1:7" x14ac:dyDescent="0.25">
      <c r="A71" s="545">
        <v>88264</v>
      </c>
      <c r="B71" s="546" t="s">
        <v>792</v>
      </c>
      <c r="C71" s="499" t="s">
        <v>807</v>
      </c>
      <c r="D71" s="542" t="s">
        <v>799</v>
      </c>
      <c r="E71" s="495">
        <v>0.08</v>
      </c>
      <c r="F71" s="543">
        <v>23.24</v>
      </c>
      <c r="G71" s="514">
        <f>TRUNC(F71*E71,2)</f>
        <v>1.85</v>
      </c>
    </row>
    <row r="72" spans="1:7" s="381" customFormat="1" x14ac:dyDescent="0.25">
      <c r="A72" s="788" t="s">
        <v>21</v>
      </c>
      <c r="B72" s="789"/>
      <c r="C72" s="789"/>
      <c r="D72" s="789"/>
      <c r="E72" s="789"/>
      <c r="F72" s="789"/>
      <c r="G72" s="511">
        <f>SUM(G70:G71)</f>
        <v>3.38</v>
      </c>
    </row>
    <row r="73" spans="1:7" x14ac:dyDescent="0.25">
      <c r="A73" s="780"/>
      <c r="B73" s="781"/>
      <c r="C73" s="781"/>
      <c r="D73" s="781"/>
      <c r="E73" s="781"/>
      <c r="F73" s="781"/>
      <c r="G73" s="782"/>
    </row>
    <row r="74" spans="1:7" s="381" customFormat="1" x14ac:dyDescent="0.25">
      <c r="A74" s="507" t="s">
        <v>785</v>
      </c>
      <c r="B74" s="485" t="s">
        <v>786</v>
      </c>
      <c r="C74" s="489" t="s">
        <v>801</v>
      </c>
      <c r="D74" s="490" t="s">
        <v>788</v>
      </c>
      <c r="E74" s="496" t="s">
        <v>789</v>
      </c>
      <c r="F74" s="492" t="s">
        <v>790</v>
      </c>
      <c r="G74" s="509" t="s">
        <v>791</v>
      </c>
    </row>
    <row r="75" spans="1:7" s="381" customFormat="1" ht="30" x14ac:dyDescent="0.25">
      <c r="A75" s="545">
        <v>431</v>
      </c>
      <c r="B75" s="546" t="s">
        <v>817</v>
      </c>
      <c r="C75" s="499" t="s">
        <v>823</v>
      </c>
      <c r="D75" s="539" t="s">
        <v>62</v>
      </c>
      <c r="E75" s="498">
        <v>1</v>
      </c>
      <c r="F75" s="540">
        <v>11.23</v>
      </c>
      <c r="G75" s="510">
        <f t="shared" ref="G75" si="2">TRUNC(E75*F75,2)</f>
        <v>11.23</v>
      </c>
    </row>
    <row r="76" spans="1:7" s="381" customFormat="1" x14ac:dyDescent="0.25">
      <c r="A76" s="815" t="s">
        <v>21</v>
      </c>
      <c r="B76" s="816"/>
      <c r="C76" s="816"/>
      <c r="D76" s="816"/>
      <c r="E76" s="816"/>
      <c r="F76" s="816"/>
      <c r="G76" s="532">
        <f>SUM(G75)</f>
        <v>11.23</v>
      </c>
    </row>
    <row r="77" spans="1:7" s="381" customFormat="1" x14ac:dyDescent="0.25">
      <c r="A77" s="797" t="s">
        <v>796</v>
      </c>
      <c r="B77" s="786"/>
      <c r="C77" s="786"/>
      <c r="D77" s="786"/>
      <c r="E77" s="786"/>
      <c r="F77" s="786"/>
      <c r="G77" s="512">
        <f>G72+G75</f>
        <v>14.61</v>
      </c>
    </row>
    <row r="78" spans="1:7" s="381" customFormat="1" ht="15.75" customHeight="1" x14ac:dyDescent="0.25">
      <c r="A78" s="806"/>
      <c r="B78" s="807"/>
      <c r="C78" s="807"/>
      <c r="D78" s="807"/>
      <c r="E78" s="807"/>
      <c r="F78" s="807"/>
      <c r="G78" s="808"/>
    </row>
    <row r="79" spans="1:7" s="381" customFormat="1" x14ac:dyDescent="0.25">
      <c r="A79" s="772" t="s">
        <v>1215</v>
      </c>
      <c r="B79" s="773"/>
      <c r="C79" s="773"/>
      <c r="D79" s="773"/>
      <c r="E79" s="773"/>
      <c r="F79" s="773"/>
      <c r="G79" s="774"/>
    </row>
    <row r="80" spans="1:7" s="381" customFormat="1" x14ac:dyDescent="0.25">
      <c r="A80" s="772"/>
      <c r="B80" s="773"/>
      <c r="C80" s="773"/>
      <c r="D80" s="773"/>
      <c r="E80" s="773"/>
      <c r="F80" s="773"/>
      <c r="G80" s="774"/>
    </row>
    <row r="81" spans="1:7" s="381" customFormat="1" x14ac:dyDescent="0.25">
      <c r="A81" s="841"/>
      <c r="B81" s="775"/>
      <c r="C81" s="775"/>
      <c r="D81" s="775"/>
      <c r="E81" s="775"/>
      <c r="F81" s="775"/>
      <c r="G81" s="842"/>
    </row>
    <row r="82" spans="1:7" s="381" customFormat="1" ht="27.75" customHeight="1" x14ac:dyDescent="0.25">
      <c r="A82" s="790" t="s">
        <v>1428</v>
      </c>
      <c r="B82" s="791"/>
      <c r="C82" s="826" t="str">
        <f>C90</f>
        <v>PARAFUSO M16 EM ACO GALVANIZADO, COMPRIMENTO = 250 MM, DIAMETRO = 16 MM, ROSCA MAQUINA, CABECA QUADRADA</v>
      </c>
      <c r="D82" s="826"/>
      <c r="E82" s="826"/>
      <c r="F82" s="826"/>
      <c r="G82" s="827"/>
    </row>
    <row r="83" spans="1:7" s="381" customFormat="1" x14ac:dyDescent="0.25">
      <c r="A83" s="780"/>
      <c r="B83" s="781"/>
      <c r="C83" s="781"/>
      <c r="D83" s="781"/>
      <c r="E83" s="781"/>
      <c r="F83" s="781"/>
      <c r="G83" s="782"/>
    </row>
    <row r="84" spans="1:7" s="381" customFormat="1" x14ac:dyDescent="0.25">
      <c r="A84" s="507" t="s">
        <v>785</v>
      </c>
      <c r="B84" s="485" t="s">
        <v>786</v>
      </c>
      <c r="C84" s="489" t="s">
        <v>787</v>
      </c>
      <c r="D84" s="490" t="s">
        <v>788</v>
      </c>
      <c r="E84" s="491" t="s">
        <v>789</v>
      </c>
      <c r="F84" s="492" t="s">
        <v>790</v>
      </c>
      <c r="G84" s="509" t="s">
        <v>791</v>
      </c>
    </row>
    <row r="85" spans="1:7" x14ac:dyDescent="0.25">
      <c r="A85" s="545">
        <v>88247</v>
      </c>
      <c r="B85" s="546" t="s">
        <v>792</v>
      </c>
      <c r="C85" s="499" t="s">
        <v>806</v>
      </c>
      <c r="D85" s="542" t="s">
        <v>799</v>
      </c>
      <c r="E85" s="495">
        <v>0.08</v>
      </c>
      <c r="F85" s="543">
        <v>19.2</v>
      </c>
      <c r="G85" s="514">
        <f>TRUNC(F85*E85,2)</f>
        <v>1.53</v>
      </c>
    </row>
    <row r="86" spans="1:7" x14ac:dyDescent="0.25">
      <c r="A86" s="545">
        <v>88264</v>
      </c>
      <c r="B86" s="546" t="s">
        <v>792</v>
      </c>
      <c r="C86" s="499" t="s">
        <v>807</v>
      </c>
      <c r="D86" s="542" t="s">
        <v>799</v>
      </c>
      <c r="E86" s="495">
        <v>0.08</v>
      </c>
      <c r="F86" s="543">
        <v>23.24</v>
      </c>
      <c r="G86" s="514">
        <f>TRUNC(F86*E86,2)</f>
        <v>1.85</v>
      </c>
    </row>
    <row r="87" spans="1:7" x14ac:dyDescent="0.25">
      <c r="A87" s="788" t="s">
        <v>21</v>
      </c>
      <c r="B87" s="789"/>
      <c r="C87" s="789"/>
      <c r="D87" s="789"/>
      <c r="E87" s="789"/>
      <c r="F87" s="789"/>
      <c r="G87" s="511">
        <f>SUM(G85:G86)</f>
        <v>3.38</v>
      </c>
    </row>
    <row r="88" spans="1:7" s="381" customFormat="1" x14ac:dyDescent="0.25">
      <c r="A88" s="780"/>
      <c r="B88" s="781"/>
      <c r="C88" s="781"/>
      <c r="D88" s="781"/>
      <c r="E88" s="781"/>
      <c r="F88" s="781"/>
      <c r="G88" s="782"/>
    </row>
    <row r="89" spans="1:7" s="381" customFormat="1" x14ac:dyDescent="0.25">
      <c r="A89" s="507" t="s">
        <v>785</v>
      </c>
      <c r="B89" s="485" t="s">
        <v>786</v>
      </c>
      <c r="C89" s="489" t="s">
        <v>801</v>
      </c>
      <c r="D89" s="490" t="s">
        <v>788</v>
      </c>
      <c r="E89" s="496" t="s">
        <v>789</v>
      </c>
      <c r="F89" s="492" t="s">
        <v>790</v>
      </c>
      <c r="G89" s="509" t="s">
        <v>791</v>
      </c>
    </row>
    <row r="90" spans="1:7" s="381" customFormat="1" ht="30" x14ac:dyDescent="0.25">
      <c r="A90" s="545">
        <v>432</v>
      </c>
      <c r="B90" s="546" t="s">
        <v>817</v>
      </c>
      <c r="C90" s="499" t="s">
        <v>820</v>
      </c>
      <c r="D90" s="539" t="s">
        <v>62</v>
      </c>
      <c r="E90" s="498">
        <v>1</v>
      </c>
      <c r="F90" s="540">
        <v>12.39</v>
      </c>
      <c r="G90" s="510">
        <f t="shared" ref="G90" si="3">TRUNC(E90*F90,2)</f>
        <v>12.39</v>
      </c>
    </row>
    <row r="91" spans="1:7" s="381" customFormat="1" x14ac:dyDescent="0.25">
      <c r="A91" s="815" t="s">
        <v>21</v>
      </c>
      <c r="B91" s="816"/>
      <c r="C91" s="816"/>
      <c r="D91" s="816"/>
      <c r="E91" s="816"/>
      <c r="F91" s="816"/>
      <c r="G91" s="532">
        <f>SUM(G90)</f>
        <v>12.39</v>
      </c>
    </row>
    <row r="92" spans="1:7" s="381" customFormat="1" x14ac:dyDescent="0.25">
      <c r="A92" s="797" t="s">
        <v>796</v>
      </c>
      <c r="B92" s="786"/>
      <c r="C92" s="786"/>
      <c r="D92" s="786"/>
      <c r="E92" s="786"/>
      <c r="F92" s="786"/>
      <c r="G92" s="512">
        <f>G87+G90</f>
        <v>15.77</v>
      </c>
    </row>
    <row r="93" spans="1:7" ht="15.75" customHeight="1" x14ac:dyDescent="0.25">
      <c r="A93" s="806"/>
      <c r="B93" s="807"/>
      <c r="C93" s="807"/>
      <c r="D93" s="807"/>
      <c r="E93" s="807"/>
      <c r="F93" s="807"/>
      <c r="G93" s="808"/>
    </row>
    <row r="94" spans="1:7" x14ac:dyDescent="0.25">
      <c r="A94" s="772" t="s">
        <v>1215</v>
      </c>
      <c r="B94" s="773"/>
      <c r="C94" s="773"/>
      <c r="D94" s="773"/>
      <c r="E94" s="773"/>
      <c r="F94" s="773"/>
      <c r="G94" s="774"/>
    </row>
    <row r="95" spans="1:7" x14ac:dyDescent="0.25">
      <c r="A95" s="772"/>
      <c r="B95" s="773"/>
      <c r="C95" s="773"/>
      <c r="D95" s="773"/>
      <c r="E95" s="773"/>
      <c r="F95" s="773"/>
      <c r="G95" s="774"/>
    </row>
    <row r="96" spans="1:7" s="381" customFormat="1" x14ac:dyDescent="0.25">
      <c r="A96" s="841"/>
      <c r="B96" s="775"/>
      <c r="C96" s="775"/>
      <c r="D96" s="775"/>
      <c r="E96" s="775"/>
      <c r="F96" s="775"/>
      <c r="G96" s="842"/>
    </row>
    <row r="97" spans="1:7" ht="30" customHeight="1" x14ac:dyDescent="0.25">
      <c r="A97" s="790" t="s">
        <v>1429</v>
      </c>
      <c r="B97" s="791"/>
      <c r="C97" s="826" t="str">
        <f>C105</f>
        <v>PARAFUSO M16 EM ACO GALVANIZADO, COMPRIMENTO = 300 MM, DIAMETRO = 16 MM, ROSCA MAQUINA, CABECA QUADRADA</v>
      </c>
      <c r="D97" s="826"/>
      <c r="E97" s="826"/>
      <c r="F97" s="826"/>
      <c r="G97" s="827"/>
    </row>
    <row r="98" spans="1:7" s="381" customFormat="1" x14ac:dyDescent="0.25">
      <c r="A98" s="507"/>
      <c r="B98" s="485"/>
      <c r="C98" s="486"/>
      <c r="D98" s="538"/>
      <c r="E98" s="471"/>
      <c r="F98" s="487"/>
      <c r="G98" s="508"/>
    </row>
    <row r="99" spans="1:7" x14ac:dyDescent="0.25">
      <c r="A99" s="507" t="s">
        <v>785</v>
      </c>
      <c r="B99" s="485" t="s">
        <v>786</v>
      </c>
      <c r="C99" s="489" t="s">
        <v>787</v>
      </c>
      <c r="D99" s="490" t="s">
        <v>788</v>
      </c>
      <c r="E99" s="491" t="s">
        <v>789</v>
      </c>
      <c r="F99" s="492" t="s">
        <v>790</v>
      </c>
      <c r="G99" s="509" t="s">
        <v>791</v>
      </c>
    </row>
    <row r="100" spans="1:7" s="381" customFormat="1" x14ac:dyDescent="0.25">
      <c r="A100" s="545">
        <v>88247</v>
      </c>
      <c r="B100" s="546" t="s">
        <v>792</v>
      </c>
      <c r="C100" s="499" t="s">
        <v>806</v>
      </c>
      <c r="D100" s="542" t="s">
        <v>799</v>
      </c>
      <c r="E100" s="495">
        <v>0.08</v>
      </c>
      <c r="F100" s="543">
        <v>19.2</v>
      </c>
      <c r="G100" s="514">
        <f>TRUNC(F100*E100,2)</f>
        <v>1.53</v>
      </c>
    </row>
    <row r="101" spans="1:7" s="381" customFormat="1" x14ac:dyDescent="0.25">
      <c r="A101" s="545">
        <v>88264</v>
      </c>
      <c r="B101" s="546" t="s">
        <v>792</v>
      </c>
      <c r="C101" s="499" t="s">
        <v>807</v>
      </c>
      <c r="D101" s="542" t="s">
        <v>799</v>
      </c>
      <c r="E101" s="495">
        <v>0.08</v>
      </c>
      <c r="F101" s="543">
        <v>23.24</v>
      </c>
      <c r="G101" s="514">
        <f>TRUNC(F101*E101,2)</f>
        <v>1.85</v>
      </c>
    </row>
    <row r="102" spans="1:7" x14ac:dyDescent="0.25">
      <c r="A102" s="788" t="s">
        <v>21</v>
      </c>
      <c r="B102" s="789"/>
      <c r="C102" s="789"/>
      <c r="D102" s="789"/>
      <c r="E102" s="789"/>
      <c r="F102" s="789"/>
      <c r="G102" s="511">
        <f>SUM(G100:G101)</f>
        <v>3.38</v>
      </c>
    </row>
    <row r="103" spans="1:7" x14ac:dyDescent="0.25">
      <c r="A103" s="780"/>
      <c r="B103" s="781"/>
      <c r="C103" s="781"/>
      <c r="D103" s="781"/>
      <c r="E103" s="781"/>
      <c r="F103" s="781"/>
      <c r="G103" s="782"/>
    </row>
    <row r="104" spans="1:7" x14ac:dyDescent="0.25">
      <c r="A104" s="507" t="s">
        <v>785</v>
      </c>
      <c r="B104" s="485" t="s">
        <v>786</v>
      </c>
      <c r="C104" s="489" t="s">
        <v>801</v>
      </c>
      <c r="D104" s="490" t="s">
        <v>788</v>
      </c>
      <c r="E104" s="496" t="s">
        <v>789</v>
      </c>
      <c r="F104" s="492" t="s">
        <v>790</v>
      </c>
      <c r="G104" s="509" t="s">
        <v>791</v>
      </c>
    </row>
    <row r="105" spans="1:7" ht="30" x14ac:dyDescent="0.25">
      <c r="A105" s="545">
        <v>429</v>
      </c>
      <c r="B105" s="546" t="s">
        <v>817</v>
      </c>
      <c r="C105" s="499" t="s">
        <v>826</v>
      </c>
      <c r="D105" s="539" t="s">
        <v>62</v>
      </c>
      <c r="E105" s="498">
        <v>1</v>
      </c>
      <c r="F105" s="540">
        <v>16.71</v>
      </c>
      <c r="G105" s="510">
        <f t="shared" ref="G105" si="4">TRUNC(E105*F105,2)</f>
        <v>16.71</v>
      </c>
    </row>
    <row r="106" spans="1:7" x14ac:dyDescent="0.25">
      <c r="A106" s="815" t="s">
        <v>21</v>
      </c>
      <c r="B106" s="816"/>
      <c r="C106" s="816"/>
      <c r="D106" s="816"/>
      <c r="E106" s="816"/>
      <c r="F106" s="816"/>
      <c r="G106" s="532">
        <f>SUM(G105)</f>
        <v>16.71</v>
      </c>
    </row>
    <row r="107" spans="1:7" x14ac:dyDescent="0.25">
      <c r="A107" s="797" t="s">
        <v>796</v>
      </c>
      <c r="B107" s="786"/>
      <c r="C107" s="786"/>
      <c r="D107" s="786"/>
      <c r="E107" s="786"/>
      <c r="F107" s="786"/>
      <c r="G107" s="512">
        <f>G102+G105</f>
        <v>20.09</v>
      </c>
    </row>
    <row r="108" spans="1:7" s="381" customFormat="1" ht="15.75" customHeight="1" x14ac:dyDescent="0.25">
      <c r="A108" s="806"/>
      <c r="B108" s="807"/>
      <c r="C108" s="807"/>
      <c r="D108" s="807"/>
      <c r="E108" s="807"/>
      <c r="F108" s="807"/>
      <c r="G108" s="808"/>
    </row>
    <row r="109" spans="1:7" s="381" customFormat="1" x14ac:dyDescent="0.25">
      <c r="A109" s="772" t="s">
        <v>1215</v>
      </c>
      <c r="B109" s="773"/>
      <c r="C109" s="773"/>
      <c r="D109" s="773"/>
      <c r="E109" s="773"/>
      <c r="F109" s="773"/>
      <c r="G109" s="774"/>
    </row>
    <row r="110" spans="1:7" x14ac:dyDescent="0.25">
      <c r="A110" s="772"/>
      <c r="B110" s="773"/>
      <c r="C110" s="773"/>
      <c r="D110" s="773"/>
      <c r="E110" s="773"/>
      <c r="F110" s="773"/>
      <c r="G110" s="774"/>
    </row>
    <row r="111" spans="1:7" x14ac:dyDescent="0.25">
      <c r="A111" s="841"/>
      <c r="B111" s="775"/>
      <c r="C111" s="775"/>
      <c r="D111" s="775"/>
      <c r="E111" s="775"/>
      <c r="F111" s="775"/>
      <c r="G111" s="842"/>
    </row>
    <row r="112" spans="1:7" s="381" customFormat="1" x14ac:dyDescent="0.25">
      <c r="A112" s="790" t="s">
        <v>1430</v>
      </c>
      <c r="B112" s="791"/>
      <c r="C112" s="798" t="str">
        <f>C120</f>
        <v>PORCA OLHAL EM ACO GALVANIZADO, ESPESSURA 16MM, ABERTURA 21MM</v>
      </c>
      <c r="D112" s="798"/>
      <c r="E112" s="798"/>
      <c r="F112" s="798"/>
      <c r="G112" s="799"/>
    </row>
    <row r="113" spans="1:7" s="381" customFormat="1" x14ac:dyDescent="0.25">
      <c r="A113" s="507"/>
      <c r="B113" s="485"/>
      <c r="C113" s="486"/>
      <c r="D113" s="538"/>
      <c r="E113" s="471"/>
      <c r="F113" s="487"/>
      <c r="G113" s="508"/>
    </row>
    <row r="114" spans="1:7" s="381" customFormat="1" x14ac:dyDescent="0.25">
      <c r="A114" s="507" t="s">
        <v>785</v>
      </c>
      <c r="B114" s="485" t="s">
        <v>786</v>
      </c>
      <c r="C114" s="489" t="s">
        <v>787</v>
      </c>
      <c r="D114" s="490" t="s">
        <v>788</v>
      </c>
      <c r="E114" s="491" t="s">
        <v>789</v>
      </c>
      <c r="F114" s="492" t="s">
        <v>790</v>
      </c>
      <c r="G114" s="509" t="s">
        <v>791</v>
      </c>
    </row>
    <row r="115" spans="1:7" x14ac:dyDescent="0.25">
      <c r="A115" s="545">
        <v>88247</v>
      </c>
      <c r="B115" s="546" t="s">
        <v>792</v>
      </c>
      <c r="C115" s="499" t="s">
        <v>806</v>
      </c>
      <c r="D115" s="542" t="s">
        <v>799</v>
      </c>
      <c r="E115" s="495">
        <v>0.05</v>
      </c>
      <c r="F115" s="543">
        <v>19.2</v>
      </c>
      <c r="G115" s="514">
        <f>TRUNC(F115*E115,2)</f>
        <v>0.96</v>
      </c>
    </row>
    <row r="116" spans="1:7" s="381" customFormat="1" x14ac:dyDescent="0.25">
      <c r="A116" s="545">
        <v>88264</v>
      </c>
      <c r="B116" s="546" t="s">
        <v>792</v>
      </c>
      <c r="C116" s="499" t="s">
        <v>807</v>
      </c>
      <c r="D116" s="542" t="s">
        <v>799</v>
      </c>
      <c r="E116" s="495">
        <v>0.05</v>
      </c>
      <c r="F116" s="543">
        <v>23.24</v>
      </c>
      <c r="G116" s="514">
        <f>TRUNC(F116*E116,2)</f>
        <v>1.1599999999999999</v>
      </c>
    </row>
    <row r="117" spans="1:7" s="381" customFormat="1" x14ac:dyDescent="0.25">
      <c r="A117" s="788" t="s">
        <v>21</v>
      </c>
      <c r="B117" s="789"/>
      <c r="C117" s="789"/>
      <c r="D117" s="789"/>
      <c r="E117" s="789"/>
      <c r="F117" s="789"/>
      <c r="G117" s="511">
        <f>SUM(G115:G116)</f>
        <v>2.12</v>
      </c>
    </row>
    <row r="118" spans="1:7" s="381" customFormat="1" x14ac:dyDescent="0.25">
      <c r="A118" s="780"/>
      <c r="B118" s="781"/>
      <c r="C118" s="781"/>
      <c r="D118" s="781"/>
      <c r="E118" s="781"/>
      <c r="F118" s="781"/>
      <c r="G118" s="782"/>
    </row>
    <row r="119" spans="1:7" s="381" customFormat="1" x14ac:dyDescent="0.25">
      <c r="A119" s="507" t="s">
        <v>785</v>
      </c>
      <c r="B119" s="485" t="s">
        <v>786</v>
      </c>
      <c r="C119" s="489" t="s">
        <v>801</v>
      </c>
      <c r="D119" s="490" t="s">
        <v>788</v>
      </c>
      <c r="E119" s="496" t="s">
        <v>789</v>
      </c>
      <c r="F119" s="492" t="s">
        <v>790</v>
      </c>
      <c r="G119" s="509" t="s">
        <v>791</v>
      </c>
    </row>
    <row r="120" spans="1:7" s="381" customFormat="1" x14ac:dyDescent="0.25">
      <c r="A120" s="545">
        <v>12362</v>
      </c>
      <c r="B120" s="546" t="s">
        <v>817</v>
      </c>
      <c r="C120" s="499" t="s">
        <v>821</v>
      </c>
      <c r="D120" s="539" t="s">
        <v>62</v>
      </c>
      <c r="E120" s="498">
        <v>1</v>
      </c>
      <c r="F120" s="540">
        <v>18.579999999999998</v>
      </c>
      <c r="G120" s="510">
        <f t="shared" ref="G120" si="5">TRUNC(E120*F120,2)</f>
        <v>18.579999999999998</v>
      </c>
    </row>
    <row r="121" spans="1:7" s="381" customFormat="1" x14ac:dyDescent="0.25">
      <c r="A121" s="815" t="s">
        <v>21</v>
      </c>
      <c r="B121" s="816"/>
      <c r="C121" s="816"/>
      <c r="D121" s="816"/>
      <c r="E121" s="816"/>
      <c r="F121" s="816"/>
      <c r="G121" s="532">
        <f>SUM(G120)</f>
        <v>18.579999999999998</v>
      </c>
    </row>
    <row r="122" spans="1:7" s="381" customFormat="1" x14ac:dyDescent="0.25">
      <c r="A122" s="797" t="s">
        <v>796</v>
      </c>
      <c r="B122" s="786"/>
      <c r="C122" s="786"/>
      <c r="D122" s="786"/>
      <c r="E122" s="786"/>
      <c r="F122" s="786"/>
      <c r="G122" s="512">
        <f>G117+G120</f>
        <v>20.7</v>
      </c>
    </row>
    <row r="123" spans="1:7" s="381" customFormat="1" ht="15.75" customHeight="1" x14ac:dyDescent="0.25">
      <c r="A123" s="806"/>
      <c r="B123" s="807"/>
      <c r="C123" s="807"/>
      <c r="D123" s="807"/>
      <c r="E123" s="807"/>
      <c r="F123" s="807"/>
      <c r="G123" s="808"/>
    </row>
    <row r="124" spans="1:7" s="381" customFormat="1" x14ac:dyDescent="0.25">
      <c r="A124" s="772" t="s">
        <v>1217</v>
      </c>
      <c r="B124" s="773"/>
      <c r="C124" s="773"/>
      <c r="D124" s="773"/>
      <c r="E124" s="773"/>
      <c r="F124" s="773"/>
      <c r="G124" s="774"/>
    </row>
    <row r="125" spans="1:7" s="381" customFormat="1" x14ac:dyDescent="0.25">
      <c r="A125" s="772"/>
      <c r="B125" s="773"/>
      <c r="C125" s="773"/>
      <c r="D125" s="773"/>
      <c r="E125" s="773"/>
      <c r="F125" s="773"/>
      <c r="G125" s="774"/>
    </row>
    <row r="126" spans="1:7" s="381" customFormat="1" x14ac:dyDescent="0.25">
      <c r="A126" s="841"/>
      <c r="B126" s="775"/>
      <c r="C126" s="775"/>
      <c r="D126" s="775"/>
      <c r="E126" s="775"/>
      <c r="F126" s="775"/>
      <c r="G126" s="842"/>
    </row>
    <row r="127" spans="1:7" ht="28.5" customHeight="1" x14ac:dyDescent="0.25">
      <c r="A127" s="790" t="s">
        <v>1431</v>
      </c>
      <c r="B127" s="791"/>
      <c r="C127" s="844" t="str">
        <f>C135</f>
        <v>CHAVE FUSIVEL PARA REDES DE DISTRIBUICAO, TENSAO DE 15,0 KV, CORRENTE NOMINAL DO PORTA FUSIVEL DE 100 A, CAPACIDADE DE INTERRUPCAO SIMETRICA DE 7,10 KA, CAPACIDADE DE INTERRUPCAO ASSIMETRICA 10,00 KA</v>
      </c>
      <c r="D127" s="844"/>
      <c r="E127" s="844"/>
      <c r="F127" s="844"/>
      <c r="G127" s="845"/>
    </row>
    <row r="128" spans="1:7" s="381" customFormat="1" x14ac:dyDescent="0.25">
      <c r="A128" s="780"/>
      <c r="B128" s="781"/>
      <c r="C128" s="781"/>
      <c r="D128" s="781"/>
      <c r="E128" s="781"/>
      <c r="F128" s="781"/>
      <c r="G128" s="782"/>
    </row>
    <row r="129" spans="1:7" s="381" customFormat="1" x14ac:dyDescent="0.25">
      <c r="A129" s="507" t="s">
        <v>785</v>
      </c>
      <c r="B129" s="485" t="s">
        <v>786</v>
      </c>
      <c r="C129" s="489" t="s">
        <v>787</v>
      </c>
      <c r="D129" s="490" t="s">
        <v>788</v>
      </c>
      <c r="E129" s="491" t="s">
        <v>789</v>
      </c>
      <c r="F129" s="492" t="s">
        <v>790</v>
      </c>
      <c r="G129" s="509" t="s">
        <v>791</v>
      </c>
    </row>
    <row r="130" spans="1:7" s="381" customFormat="1" x14ac:dyDescent="0.25">
      <c r="A130" s="545">
        <v>88247</v>
      </c>
      <c r="B130" s="546" t="s">
        <v>792</v>
      </c>
      <c r="C130" s="499" t="s">
        <v>806</v>
      </c>
      <c r="D130" s="542" t="s">
        <v>799</v>
      </c>
      <c r="E130" s="495">
        <v>3.5</v>
      </c>
      <c r="F130" s="543">
        <v>19.2</v>
      </c>
      <c r="G130" s="514">
        <f>TRUNC(F130*E130,2)</f>
        <v>67.2</v>
      </c>
    </row>
    <row r="131" spans="1:7" x14ac:dyDescent="0.25">
      <c r="A131" s="545">
        <v>88264</v>
      </c>
      <c r="B131" s="546" t="s">
        <v>792</v>
      </c>
      <c r="C131" s="499" t="s">
        <v>807</v>
      </c>
      <c r="D131" s="542" t="s">
        <v>799</v>
      </c>
      <c r="E131" s="495">
        <v>3.5</v>
      </c>
      <c r="F131" s="543">
        <v>23.24</v>
      </c>
      <c r="G131" s="514">
        <f>TRUNC(F131*E131,2)</f>
        <v>81.34</v>
      </c>
    </row>
    <row r="132" spans="1:7" x14ac:dyDescent="0.25">
      <c r="A132" s="788" t="s">
        <v>21</v>
      </c>
      <c r="B132" s="789"/>
      <c r="C132" s="789"/>
      <c r="D132" s="789"/>
      <c r="E132" s="789"/>
      <c r="F132" s="789"/>
      <c r="G132" s="511">
        <f>SUM(G130:G131)</f>
        <v>148.54000000000002</v>
      </c>
    </row>
    <row r="133" spans="1:7" s="381" customFormat="1" x14ac:dyDescent="0.25">
      <c r="A133" s="780"/>
      <c r="B133" s="781"/>
      <c r="C133" s="781"/>
      <c r="D133" s="781"/>
      <c r="E133" s="781"/>
      <c r="F133" s="781"/>
      <c r="G133" s="782"/>
    </row>
    <row r="134" spans="1:7" x14ac:dyDescent="0.25">
      <c r="A134" s="507" t="s">
        <v>785</v>
      </c>
      <c r="B134" s="485" t="s">
        <v>786</v>
      </c>
      <c r="C134" s="489" t="s">
        <v>801</v>
      </c>
      <c r="D134" s="490" t="s">
        <v>788</v>
      </c>
      <c r="E134" s="496" t="s">
        <v>789</v>
      </c>
      <c r="F134" s="492" t="s">
        <v>790</v>
      </c>
      <c r="G134" s="509" t="s">
        <v>791</v>
      </c>
    </row>
    <row r="135" spans="1:7" ht="45" x14ac:dyDescent="0.25">
      <c r="A135" s="545" t="s">
        <v>1255</v>
      </c>
      <c r="B135" s="546" t="s">
        <v>808</v>
      </c>
      <c r="C135" s="500" t="s">
        <v>827</v>
      </c>
      <c r="D135" s="539" t="s">
        <v>62</v>
      </c>
      <c r="E135" s="498">
        <v>1</v>
      </c>
      <c r="F135" s="540">
        <f>D144</f>
        <v>408</v>
      </c>
      <c r="G135" s="510">
        <f t="shared" ref="G135" si="6">TRUNC(E135*F135,2)</f>
        <v>408</v>
      </c>
    </row>
    <row r="136" spans="1:7" x14ac:dyDescent="0.25">
      <c r="A136" s="815" t="s">
        <v>21</v>
      </c>
      <c r="B136" s="816"/>
      <c r="C136" s="816"/>
      <c r="D136" s="816"/>
      <c r="E136" s="816"/>
      <c r="F136" s="816"/>
      <c r="G136" s="532">
        <f>SUM(G135)</f>
        <v>408</v>
      </c>
    </row>
    <row r="137" spans="1:7" x14ac:dyDescent="0.25">
      <c r="A137" s="797" t="s">
        <v>796</v>
      </c>
      <c r="B137" s="786"/>
      <c r="C137" s="786"/>
      <c r="D137" s="786"/>
      <c r="E137" s="786"/>
      <c r="F137" s="786"/>
      <c r="G137" s="512">
        <f>G132+G135</f>
        <v>556.54</v>
      </c>
    </row>
    <row r="138" spans="1:7" x14ac:dyDescent="0.25">
      <c r="A138" s="806"/>
      <c r="B138" s="807"/>
      <c r="C138" s="807"/>
      <c r="D138" s="807"/>
      <c r="E138" s="807"/>
      <c r="F138" s="807"/>
      <c r="G138" s="808"/>
    </row>
    <row r="139" spans="1:7" ht="29.25" customHeight="1" x14ac:dyDescent="0.25">
      <c r="A139" s="544" t="s">
        <v>809</v>
      </c>
      <c r="B139" s="802" t="str">
        <f>C135</f>
        <v>CHAVE FUSIVEL PARA REDES DE DISTRIBUICAO, TENSAO DE 15,0 KV, CORRENTE NOMINAL DO PORTA FUSIVEL DE 100 A, CAPACIDADE DE INTERRUPCAO SIMETRICA DE 7,10 KA, CAPACIDADE DE INTERRUPCAO ASSIMETRICA 10,00 KA</v>
      </c>
      <c r="C139" s="802"/>
      <c r="D139" s="802"/>
      <c r="E139" s="802"/>
      <c r="F139" s="802"/>
      <c r="G139" s="809"/>
    </row>
    <row r="140" spans="1:7" x14ac:dyDescent="0.25">
      <c r="A140" s="545"/>
      <c r="B140" s="728" t="s">
        <v>1247</v>
      </c>
      <c r="C140" s="728"/>
      <c r="D140" s="784" t="s">
        <v>810</v>
      </c>
      <c r="E140" s="784"/>
      <c r="F140" s="541" t="s">
        <v>811</v>
      </c>
      <c r="G140" s="516" t="s">
        <v>1183</v>
      </c>
    </row>
    <row r="141" spans="1:7" x14ac:dyDescent="0.25">
      <c r="A141" s="517">
        <v>44740</v>
      </c>
      <c r="B141" s="775" t="s">
        <v>1358</v>
      </c>
      <c r="C141" s="775"/>
      <c r="D141" s="776">
        <v>383.59</v>
      </c>
      <c r="E141" s="776"/>
      <c r="F141" s="542" t="s">
        <v>1212</v>
      </c>
      <c r="G141" s="518" t="s">
        <v>1359</v>
      </c>
    </row>
    <row r="142" spans="1:7" x14ac:dyDescent="0.25">
      <c r="A142" s="519">
        <v>44741</v>
      </c>
      <c r="B142" s="785" t="s">
        <v>1362</v>
      </c>
      <c r="C142" s="785"/>
      <c r="D142" s="783">
        <v>544.57000000000005</v>
      </c>
      <c r="E142" s="783"/>
      <c r="F142" s="539" t="s">
        <v>1182</v>
      </c>
      <c r="G142" s="520" t="s">
        <v>1363</v>
      </c>
    </row>
    <row r="143" spans="1:7" x14ac:dyDescent="0.25">
      <c r="A143" s="519">
        <v>44741</v>
      </c>
      <c r="B143" s="785" t="s">
        <v>1248</v>
      </c>
      <c r="C143" s="785"/>
      <c r="D143" s="783">
        <v>408</v>
      </c>
      <c r="E143" s="783"/>
      <c r="F143" s="539" t="s">
        <v>1360</v>
      </c>
      <c r="G143" s="520" t="s">
        <v>1361</v>
      </c>
    </row>
    <row r="144" spans="1:7" x14ac:dyDescent="0.25">
      <c r="A144" s="545"/>
      <c r="B144" s="777" t="s">
        <v>812</v>
      </c>
      <c r="C144" s="777"/>
      <c r="D144" s="800">
        <f>MEDIAN(D141:E143)</f>
        <v>408</v>
      </c>
      <c r="E144" s="800"/>
      <c r="F144" s="800"/>
      <c r="G144" s="801"/>
    </row>
    <row r="145" spans="1:7" ht="15.75" customHeight="1" x14ac:dyDescent="0.25">
      <c r="A145" s="806"/>
      <c r="B145" s="807"/>
      <c r="C145" s="807"/>
      <c r="D145" s="807"/>
      <c r="E145" s="807"/>
      <c r="F145" s="807"/>
      <c r="G145" s="808"/>
    </row>
    <row r="146" spans="1:7" x14ac:dyDescent="0.25">
      <c r="A146" s="772" t="s">
        <v>1218</v>
      </c>
      <c r="B146" s="773"/>
      <c r="C146" s="773"/>
      <c r="D146" s="773"/>
      <c r="E146" s="773"/>
      <c r="F146" s="773"/>
      <c r="G146" s="774"/>
    </row>
    <row r="147" spans="1:7" s="381" customFormat="1" x14ac:dyDescent="0.25">
      <c r="A147" s="772"/>
      <c r="B147" s="773"/>
      <c r="C147" s="773"/>
      <c r="D147" s="773"/>
      <c r="E147" s="773"/>
      <c r="F147" s="773"/>
      <c r="G147" s="774"/>
    </row>
    <row r="148" spans="1:7" s="381" customFormat="1" x14ac:dyDescent="0.25">
      <c r="A148" s="841"/>
      <c r="B148" s="775"/>
      <c r="C148" s="775"/>
      <c r="D148" s="775"/>
      <c r="E148" s="775"/>
      <c r="F148" s="775"/>
      <c r="G148" s="842"/>
    </row>
    <row r="149" spans="1:7" s="381" customFormat="1" x14ac:dyDescent="0.25">
      <c r="A149" s="790" t="s">
        <v>1432</v>
      </c>
      <c r="B149" s="791"/>
      <c r="C149" s="798" t="str">
        <f>C157</f>
        <v>CRUZETA DE CONCRETO LEVE, COMP. 2000 MM SECAO, 90 X 90 MM</v>
      </c>
      <c r="D149" s="798"/>
      <c r="E149" s="798"/>
      <c r="F149" s="798"/>
      <c r="G149" s="799"/>
    </row>
    <row r="150" spans="1:7" s="381" customFormat="1" x14ac:dyDescent="0.25">
      <c r="A150" s="780"/>
      <c r="B150" s="781"/>
      <c r="C150" s="781"/>
      <c r="D150" s="781"/>
      <c r="E150" s="781"/>
      <c r="F150" s="781"/>
      <c r="G150" s="782"/>
    </row>
    <row r="151" spans="1:7" s="381" customFormat="1" x14ac:dyDescent="0.25">
      <c r="A151" s="507" t="s">
        <v>785</v>
      </c>
      <c r="B151" s="485" t="s">
        <v>786</v>
      </c>
      <c r="C151" s="489" t="s">
        <v>787</v>
      </c>
      <c r="D151" s="490" t="s">
        <v>788</v>
      </c>
      <c r="E151" s="491" t="s">
        <v>789</v>
      </c>
      <c r="F151" s="492" t="s">
        <v>790</v>
      </c>
      <c r="G151" s="509" t="s">
        <v>791</v>
      </c>
    </row>
    <row r="152" spans="1:7" s="381" customFormat="1" x14ac:dyDescent="0.25">
      <c r="A152" s="545">
        <v>88247</v>
      </c>
      <c r="B152" s="546" t="s">
        <v>792</v>
      </c>
      <c r="C152" s="499" t="s">
        <v>806</v>
      </c>
      <c r="D152" s="542" t="s">
        <v>799</v>
      </c>
      <c r="E152" s="495">
        <v>1.0309999999999999</v>
      </c>
      <c r="F152" s="543">
        <v>19.2</v>
      </c>
      <c r="G152" s="514">
        <f>TRUNC(F152*E152,2)</f>
        <v>19.79</v>
      </c>
    </row>
    <row r="153" spans="1:7" x14ac:dyDescent="0.25">
      <c r="A153" s="545">
        <v>88264</v>
      </c>
      <c r="B153" s="546" t="s">
        <v>792</v>
      </c>
      <c r="C153" s="499" t="s">
        <v>807</v>
      </c>
      <c r="D153" s="542" t="s">
        <v>799</v>
      </c>
      <c r="E153" s="495">
        <v>1.34</v>
      </c>
      <c r="F153" s="543">
        <v>23.24</v>
      </c>
      <c r="G153" s="514">
        <f>TRUNC(F153*E153,2)</f>
        <v>31.14</v>
      </c>
    </row>
    <row r="154" spans="1:7" x14ac:dyDescent="0.25">
      <c r="A154" s="788" t="s">
        <v>21</v>
      </c>
      <c r="B154" s="789"/>
      <c r="C154" s="789"/>
      <c r="D154" s="789"/>
      <c r="E154" s="789"/>
      <c r="F154" s="789"/>
      <c r="G154" s="511">
        <f>SUM(G152:G153)</f>
        <v>50.93</v>
      </c>
    </row>
    <row r="155" spans="1:7" x14ac:dyDescent="0.25">
      <c r="A155" s="780"/>
      <c r="B155" s="781"/>
      <c r="C155" s="781"/>
      <c r="D155" s="781"/>
      <c r="E155" s="781"/>
      <c r="F155" s="781"/>
      <c r="G155" s="782"/>
    </row>
    <row r="156" spans="1:7" s="381" customFormat="1" x14ac:dyDescent="0.25">
      <c r="A156" s="507" t="s">
        <v>785</v>
      </c>
      <c r="B156" s="485" t="s">
        <v>786</v>
      </c>
      <c r="C156" s="489" t="s">
        <v>801</v>
      </c>
      <c r="D156" s="490" t="s">
        <v>788</v>
      </c>
      <c r="E156" s="496" t="s">
        <v>789</v>
      </c>
      <c r="F156" s="492" t="s">
        <v>790</v>
      </c>
      <c r="G156" s="509" t="s">
        <v>791</v>
      </c>
    </row>
    <row r="157" spans="1:7" s="381" customFormat="1" x14ac:dyDescent="0.25">
      <c r="A157" s="545">
        <v>34519</v>
      </c>
      <c r="B157" s="546" t="s">
        <v>817</v>
      </c>
      <c r="C157" s="499" t="s">
        <v>828</v>
      </c>
      <c r="D157" s="539" t="s">
        <v>62</v>
      </c>
      <c r="E157" s="498">
        <v>1</v>
      </c>
      <c r="F157" s="540">
        <v>88.11</v>
      </c>
      <c r="G157" s="510">
        <f t="shared" ref="G157" si="7">TRUNC(E157*F157,2)</f>
        <v>88.11</v>
      </c>
    </row>
    <row r="158" spans="1:7" s="381" customFormat="1" x14ac:dyDescent="0.25">
      <c r="A158" s="815" t="s">
        <v>21</v>
      </c>
      <c r="B158" s="816"/>
      <c r="C158" s="816"/>
      <c r="D158" s="816"/>
      <c r="E158" s="816"/>
      <c r="F158" s="816"/>
      <c r="G158" s="532">
        <f>SUM(G157)</f>
        <v>88.11</v>
      </c>
    </row>
    <row r="159" spans="1:7" s="381" customFormat="1" x14ac:dyDescent="0.25">
      <c r="A159" s="797" t="s">
        <v>796</v>
      </c>
      <c r="B159" s="786"/>
      <c r="C159" s="786"/>
      <c r="D159" s="786"/>
      <c r="E159" s="786"/>
      <c r="F159" s="786"/>
      <c r="G159" s="512">
        <f>G154+G157</f>
        <v>139.04</v>
      </c>
    </row>
    <row r="160" spans="1:7" x14ac:dyDescent="0.25">
      <c r="A160" s="806"/>
      <c r="B160" s="807"/>
      <c r="C160" s="807"/>
      <c r="D160" s="807"/>
      <c r="E160" s="807"/>
      <c r="F160" s="807"/>
      <c r="G160" s="808"/>
    </row>
    <row r="161" spans="1:7" x14ac:dyDescent="0.25">
      <c r="A161" s="772" t="s">
        <v>1219</v>
      </c>
      <c r="B161" s="773"/>
      <c r="C161" s="773"/>
      <c r="D161" s="773"/>
      <c r="E161" s="773"/>
      <c r="F161" s="773"/>
      <c r="G161" s="774"/>
    </row>
    <row r="162" spans="1:7" s="381" customFormat="1" x14ac:dyDescent="0.25">
      <c r="A162" s="772"/>
      <c r="B162" s="773"/>
      <c r="C162" s="773"/>
      <c r="D162" s="773"/>
      <c r="E162" s="773"/>
      <c r="F162" s="773"/>
      <c r="G162" s="774"/>
    </row>
    <row r="163" spans="1:7" x14ac:dyDescent="0.25">
      <c r="A163" s="806"/>
      <c r="B163" s="807"/>
      <c r="C163" s="807"/>
      <c r="D163" s="807"/>
      <c r="E163" s="807"/>
      <c r="F163" s="807"/>
      <c r="G163" s="808"/>
    </row>
    <row r="164" spans="1:7" s="381" customFormat="1" ht="27.75" customHeight="1" x14ac:dyDescent="0.25">
      <c r="A164" s="790" t="s">
        <v>1433</v>
      </c>
      <c r="B164" s="791"/>
      <c r="C164" s="826" t="str">
        <f>C172</f>
        <v>GRAMPO LINHA VIVA DE LATAO ESTANHADO, DIAMETRO DO CONDUTOR PRINCIPAL DE 10 A 120 MM2, DIAMETRO DA DERIVACAO DE 10 A 70 MM2</v>
      </c>
      <c r="D164" s="826"/>
      <c r="E164" s="826"/>
      <c r="F164" s="826"/>
      <c r="G164" s="827"/>
    </row>
    <row r="165" spans="1:7" s="381" customFormat="1" x14ac:dyDescent="0.25">
      <c r="A165" s="780"/>
      <c r="B165" s="781"/>
      <c r="C165" s="781"/>
      <c r="D165" s="781"/>
      <c r="E165" s="781"/>
      <c r="F165" s="781"/>
      <c r="G165" s="782"/>
    </row>
    <row r="166" spans="1:7" s="381" customFormat="1" x14ac:dyDescent="0.25">
      <c r="A166" s="507" t="s">
        <v>785</v>
      </c>
      <c r="B166" s="485" t="s">
        <v>786</v>
      </c>
      <c r="C166" s="489" t="s">
        <v>787</v>
      </c>
      <c r="D166" s="490" t="s">
        <v>788</v>
      </c>
      <c r="E166" s="491" t="s">
        <v>789</v>
      </c>
      <c r="F166" s="492" t="s">
        <v>790</v>
      </c>
      <c r="G166" s="509" t="s">
        <v>791</v>
      </c>
    </row>
    <row r="167" spans="1:7" s="381" customFormat="1" x14ac:dyDescent="0.25">
      <c r="A167" s="545">
        <v>88247</v>
      </c>
      <c r="B167" s="546" t="s">
        <v>792</v>
      </c>
      <c r="C167" s="499" t="s">
        <v>806</v>
      </c>
      <c r="D167" s="542" t="s">
        <v>799</v>
      </c>
      <c r="E167" s="495">
        <v>0.4</v>
      </c>
      <c r="F167" s="543">
        <v>19.2</v>
      </c>
      <c r="G167" s="514">
        <f>TRUNC(F167*E167,2)</f>
        <v>7.68</v>
      </c>
    </row>
    <row r="168" spans="1:7" x14ac:dyDescent="0.25">
      <c r="A168" s="545">
        <v>88264</v>
      </c>
      <c r="B168" s="546" t="s">
        <v>792</v>
      </c>
      <c r="C168" s="499" t="s">
        <v>807</v>
      </c>
      <c r="D168" s="542" t="s">
        <v>799</v>
      </c>
      <c r="E168" s="495">
        <v>0.4</v>
      </c>
      <c r="F168" s="543">
        <v>23.24</v>
      </c>
      <c r="G168" s="514">
        <f>TRUNC(F168*E168,2)</f>
        <v>9.2899999999999991</v>
      </c>
    </row>
    <row r="169" spans="1:7" x14ac:dyDescent="0.25">
      <c r="A169" s="788" t="s">
        <v>21</v>
      </c>
      <c r="B169" s="789"/>
      <c r="C169" s="789"/>
      <c r="D169" s="789"/>
      <c r="E169" s="789"/>
      <c r="F169" s="789"/>
      <c r="G169" s="511">
        <f>SUM(G167:G168)</f>
        <v>16.97</v>
      </c>
    </row>
    <row r="170" spans="1:7" s="381" customFormat="1" x14ac:dyDescent="0.25">
      <c r="A170" s="780"/>
      <c r="B170" s="781"/>
      <c r="C170" s="781"/>
      <c r="D170" s="781"/>
      <c r="E170" s="781"/>
      <c r="F170" s="781"/>
      <c r="G170" s="782"/>
    </row>
    <row r="171" spans="1:7" s="381" customFormat="1" x14ac:dyDescent="0.25">
      <c r="A171" s="507" t="s">
        <v>785</v>
      </c>
      <c r="B171" s="485" t="s">
        <v>786</v>
      </c>
      <c r="C171" s="489" t="s">
        <v>801</v>
      </c>
      <c r="D171" s="490" t="s">
        <v>788</v>
      </c>
      <c r="E171" s="496" t="s">
        <v>789</v>
      </c>
      <c r="F171" s="492" t="s">
        <v>790</v>
      </c>
      <c r="G171" s="509" t="s">
        <v>791</v>
      </c>
    </row>
    <row r="172" spans="1:7" s="381" customFormat="1" ht="30" x14ac:dyDescent="0.25">
      <c r="A172" s="545">
        <v>11837</v>
      </c>
      <c r="B172" s="546" t="s">
        <v>817</v>
      </c>
      <c r="C172" s="499" t="s">
        <v>829</v>
      </c>
      <c r="D172" s="539" t="s">
        <v>62</v>
      </c>
      <c r="E172" s="498">
        <v>1</v>
      </c>
      <c r="F172" s="540">
        <v>70.19</v>
      </c>
      <c r="G172" s="510">
        <f t="shared" ref="G172" si="8">TRUNC(E172*F172,2)</f>
        <v>70.19</v>
      </c>
    </row>
    <row r="173" spans="1:7" s="381" customFormat="1" x14ac:dyDescent="0.25">
      <c r="A173" s="815" t="s">
        <v>21</v>
      </c>
      <c r="B173" s="816"/>
      <c r="C173" s="816"/>
      <c r="D173" s="816"/>
      <c r="E173" s="816"/>
      <c r="F173" s="816"/>
      <c r="G173" s="532">
        <f>SUM(G172)</f>
        <v>70.19</v>
      </c>
    </row>
    <row r="174" spans="1:7" s="381" customFormat="1" x14ac:dyDescent="0.25">
      <c r="A174" s="797" t="s">
        <v>796</v>
      </c>
      <c r="B174" s="786"/>
      <c r="C174" s="786"/>
      <c r="D174" s="786"/>
      <c r="E174" s="786"/>
      <c r="F174" s="786"/>
      <c r="G174" s="512">
        <f>G169+G172</f>
        <v>87.16</v>
      </c>
    </row>
    <row r="175" spans="1:7" s="381" customFormat="1" x14ac:dyDescent="0.25">
      <c r="A175" s="806"/>
      <c r="B175" s="807"/>
      <c r="C175" s="807"/>
      <c r="D175" s="807"/>
      <c r="E175" s="807"/>
      <c r="F175" s="807"/>
      <c r="G175" s="808"/>
    </row>
    <row r="176" spans="1:7" s="381" customFormat="1" x14ac:dyDescent="0.25">
      <c r="A176" s="772" t="s">
        <v>1357</v>
      </c>
      <c r="B176" s="773"/>
      <c r="C176" s="773"/>
      <c r="D176" s="773"/>
      <c r="E176" s="773"/>
      <c r="F176" s="773"/>
      <c r="G176" s="774"/>
    </row>
    <row r="177" spans="1:7" x14ac:dyDescent="0.25">
      <c r="A177" s="772"/>
      <c r="B177" s="773"/>
      <c r="C177" s="773"/>
      <c r="D177" s="773"/>
      <c r="E177" s="773"/>
      <c r="F177" s="773"/>
      <c r="G177" s="774"/>
    </row>
    <row r="178" spans="1:7" x14ac:dyDescent="0.25">
      <c r="A178" s="806"/>
      <c r="B178" s="807"/>
      <c r="C178" s="807"/>
      <c r="D178" s="807"/>
      <c r="E178" s="807"/>
      <c r="F178" s="807"/>
      <c r="G178" s="808"/>
    </row>
    <row r="179" spans="1:7" x14ac:dyDescent="0.25">
      <c r="A179" s="790" t="s">
        <v>1434</v>
      </c>
      <c r="B179" s="791"/>
      <c r="C179" s="798" t="str">
        <f>C187</f>
        <v>PARA-RAIOS DE DISTRIBUICAO, TENSAO NOMINAL 15 KV, CORRENTE NOMINAL DE DESCARGA 5 KA</v>
      </c>
      <c r="D179" s="798"/>
      <c r="E179" s="798"/>
      <c r="F179" s="798"/>
      <c r="G179" s="799"/>
    </row>
    <row r="180" spans="1:7" x14ac:dyDescent="0.25">
      <c r="A180" s="780"/>
      <c r="B180" s="781"/>
      <c r="C180" s="781"/>
      <c r="D180" s="781"/>
      <c r="E180" s="781"/>
      <c r="F180" s="781"/>
      <c r="G180" s="782"/>
    </row>
    <row r="181" spans="1:7" x14ac:dyDescent="0.25">
      <c r="A181" s="507" t="s">
        <v>785</v>
      </c>
      <c r="B181" s="485" t="s">
        <v>786</v>
      </c>
      <c r="C181" s="489" t="s">
        <v>787</v>
      </c>
      <c r="D181" s="490" t="s">
        <v>788</v>
      </c>
      <c r="E181" s="491" t="s">
        <v>789</v>
      </c>
      <c r="F181" s="492" t="s">
        <v>790</v>
      </c>
      <c r="G181" s="509" t="s">
        <v>791</v>
      </c>
    </row>
    <row r="182" spans="1:7" x14ac:dyDescent="0.25">
      <c r="A182" s="545">
        <v>88247</v>
      </c>
      <c r="B182" s="546" t="s">
        <v>792</v>
      </c>
      <c r="C182" s="499" t="s">
        <v>806</v>
      </c>
      <c r="D182" s="542" t="s">
        <v>799</v>
      </c>
      <c r="E182" s="495">
        <v>1</v>
      </c>
      <c r="F182" s="543">
        <v>19.2</v>
      </c>
      <c r="G182" s="514">
        <f>TRUNC(F182*E182,2)</f>
        <v>19.2</v>
      </c>
    </row>
    <row r="183" spans="1:7" x14ac:dyDescent="0.25">
      <c r="A183" s="545">
        <v>88264</v>
      </c>
      <c r="B183" s="546" t="s">
        <v>792</v>
      </c>
      <c r="C183" s="499" t="s">
        <v>807</v>
      </c>
      <c r="D183" s="542" t="s">
        <v>799</v>
      </c>
      <c r="E183" s="495">
        <v>1</v>
      </c>
      <c r="F183" s="543">
        <v>23.24</v>
      </c>
      <c r="G183" s="514">
        <f>TRUNC(F183*E183,2)</f>
        <v>23.24</v>
      </c>
    </row>
    <row r="184" spans="1:7" s="381" customFormat="1" x14ac:dyDescent="0.25">
      <c r="A184" s="788" t="s">
        <v>21</v>
      </c>
      <c r="B184" s="789"/>
      <c r="C184" s="789"/>
      <c r="D184" s="789"/>
      <c r="E184" s="789"/>
      <c r="F184" s="789"/>
      <c r="G184" s="511">
        <f>SUM(G182:G183)</f>
        <v>42.44</v>
      </c>
    </row>
    <row r="185" spans="1:7" s="381" customFormat="1" x14ac:dyDescent="0.25">
      <c r="A185" s="780"/>
      <c r="B185" s="781"/>
      <c r="C185" s="781"/>
      <c r="D185" s="781"/>
      <c r="E185" s="781"/>
      <c r="F185" s="781"/>
      <c r="G185" s="782"/>
    </row>
    <row r="186" spans="1:7" s="381" customFormat="1" x14ac:dyDescent="0.25">
      <c r="A186" s="507" t="s">
        <v>785</v>
      </c>
      <c r="B186" s="485" t="s">
        <v>786</v>
      </c>
      <c r="C186" s="530" t="s">
        <v>801</v>
      </c>
      <c r="D186" s="490" t="s">
        <v>788</v>
      </c>
      <c r="E186" s="496" t="s">
        <v>789</v>
      </c>
      <c r="F186" s="492" t="s">
        <v>790</v>
      </c>
      <c r="G186" s="509" t="s">
        <v>791</v>
      </c>
    </row>
    <row r="187" spans="1:7" s="381" customFormat="1" ht="30" x14ac:dyDescent="0.25">
      <c r="A187" s="545">
        <v>4276</v>
      </c>
      <c r="B187" s="546" t="s">
        <v>817</v>
      </c>
      <c r="C187" s="499" t="s">
        <v>830</v>
      </c>
      <c r="D187" s="539" t="s">
        <v>62</v>
      </c>
      <c r="E187" s="498">
        <v>1</v>
      </c>
      <c r="F187" s="540">
        <v>219.85</v>
      </c>
      <c r="G187" s="510">
        <f t="shared" ref="G187" si="9">TRUNC(E187*F187,2)</f>
        <v>219.85</v>
      </c>
    </row>
    <row r="188" spans="1:7" s="381" customFormat="1" x14ac:dyDescent="0.25">
      <c r="A188" s="815" t="s">
        <v>21</v>
      </c>
      <c r="B188" s="850"/>
      <c r="C188" s="850"/>
      <c r="D188" s="850"/>
      <c r="E188" s="850"/>
      <c r="F188" s="850"/>
      <c r="G188" s="532">
        <f>SUM(G187)</f>
        <v>219.85</v>
      </c>
    </row>
    <row r="189" spans="1:7" s="381" customFormat="1" x14ac:dyDescent="0.25">
      <c r="A189" s="797" t="s">
        <v>796</v>
      </c>
      <c r="B189" s="786"/>
      <c r="C189" s="786"/>
      <c r="D189" s="786"/>
      <c r="E189" s="786"/>
      <c r="F189" s="786"/>
      <c r="G189" s="512">
        <f>G184+G187</f>
        <v>262.28999999999996</v>
      </c>
    </row>
    <row r="190" spans="1:7" ht="15.75" customHeight="1" x14ac:dyDescent="0.25">
      <c r="A190" s="806"/>
      <c r="B190" s="807"/>
      <c r="C190" s="807"/>
      <c r="D190" s="807"/>
      <c r="E190" s="807"/>
      <c r="F190" s="807"/>
      <c r="G190" s="808"/>
    </row>
    <row r="191" spans="1:7" x14ac:dyDescent="0.25">
      <c r="A191" s="772" t="s">
        <v>1237</v>
      </c>
      <c r="B191" s="773"/>
      <c r="C191" s="773"/>
      <c r="D191" s="773"/>
      <c r="E191" s="773"/>
      <c r="F191" s="773"/>
      <c r="G191" s="774"/>
    </row>
    <row r="192" spans="1:7" x14ac:dyDescent="0.25">
      <c r="A192" s="772"/>
      <c r="B192" s="773"/>
      <c r="C192" s="773"/>
      <c r="D192" s="773"/>
      <c r="E192" s="773"/>
      <c r="F192" s="773"/>
      <c r="G192" s="774"/>
    </row>
    <row r="193" spans="1:7" s="381" customFormat="1" x14ac:dyDescent="0.25">
      <c r="A193" s="841"/>
      <c r="B193" s="775"/>
      <c r="C193" s="775"/>
      <c r="D193" s="775"/>
      <c r="E193" s="775"/>
      <c r="F193" s="775"/>
      <c r="G193" s="842"/>
    </row>
    <row r="194" spans="1:7" x14ac:dyDescent="0.25">
      <c r="A194" s="790" t="s">
        <v>1435</v>
      </c>
      <c r="B194" s="791"/>
      <c r="C194" s="798" t="str">
        <f>C202</f>
        <v>GANCHO OLHAL EM ACO GALVANIZADO, ESPESSURA 16MM, ABERTURA 21MM</v>
      </c>
      <c r="D194" s="798"/>
      <c r="E194" s="798"/>
      <c r="F194" s="798"/>
      <c r="G194" s="799"/>
    </row>
    <row r="195" spans="1:7" x14ac:dyDescent="0.25">
      <c r="A195" s="780"/>
      <c r="B195" s="781"/>
      <c r="C195" s="781"/>
      <c r="D195" s="781"/>
      <c r="E195" s="781"/>
      <c r="F195" s="781"/>
      <c r="G195" s="782"/>
    </row>
    <row r="196" spans="1:7" s="381" customFormat="1" x14ac:dyDescent="0.25">
      <c r="A196" s="507" t="s">
        <v>785</v>
      </c>
      <c r="B196" s="485" t="s">
        <v>786</v>
      </c>
      <c r="C196" s="489" t="s">
        <v>787</v>
      </c>
      <c r="D196" s="490" t="s">
        <v>788</v>
      </c>
      <c r="E196" s="491" t="s">
        <v>789</v>
      </c>
      <c r="F196" s="492" t="s">
        <v>790</v>
      </c>
      <c r="G196" s="509" t="s">
        <v>791</v>
      </c>
    </row>
    <row r="197" spans="1:7" s="381" customFormat="1" x14ac:dyDescent="0.25">
      <c r="A197" s="545">
        <v>88247</v>
      </c>
      <c r="B197" s="546" t="s">
        <v>792</v>
      </c>
      <c r="C197" s="499" t="s">
        <v>806</v>
      </c>
      <c r="D197" s="542" t="s">
        <v>799</v>
      </c>
      <c r="E197" s="495">
        <v>0.2</v>
      </c>
      <c r="F197" s="543">
        <v>19.2</v>
      </c>
      <c r="G197" s="514">
        <f>TRUNC(F197*E197,2)</f>
        <v>3.84</v>
      </c>
    </row>
    <row r="198" spans="1:7" s="381" customFormat="1" x14ac:dyDescent="0.25">
      <c r="A198" s="545">
        <v>88264</v>
      </c>
      <c r="B198" s="546" t="s">
        <v>792</v>
      </c>
      <c r="C198" s="499" t="s">
        <v>807</v>
      </c>
      <c r="D198" s="542" t="s">
        <v>799</v>
      </c>
      <c r="E198" s="495">
        <v>0.2</v>
      </c>
      <c r="F198" s="543">
        <v>23.24</v>
      </c>
      <c r="G198" s="514">
        <f>TRUNC(F198*E198,2)</f>
        <v>4.6399999999999997</v>
      </c>
    </row>
    <row r="199" spans="1:7" x14ac:dyDescent="0.25">
      <c r="A199" s="788" t="s">
        <v>21</v>
      </c>
      <c r="B199" s="789"/>
      <c r="C199" s="789"/>
      <c r="D199" s="789"/>
      <c r="E199" s="789"/>
      <c r="F199" s="789"/>
      <c r="G199" s="511">
        <f>SUM(G197:G198)</f>
        <v>8.48</v>
      </c>
    </row>
    <row r="200" spans="1:7" x14ac:dyDescent="0.25">
      <c r="A200" s="780"/>
      <c r="B200" s="781"/>
      <c r="C200" s="781"/>
      <c r="D200" s="781"/>
      <c r="E200" s="781"/>
      <c r="F200" s="781"/>
      <c r="G200" s="782"/>
    </row>
    <row r="201" spans="1:7" s="381" customFormat="1" ht="15" customHeight="1" x14ac:dyDescent="0.25">
      <c r="A201" s="507" t="s">
        <v>785</v>
      </c>
      <c r="B201" s="485" t="s">
        <v>786</v>
      </c>
      <c r="C201" s="489" t="s">
        <v>801</v>
      </c>
      <c r="D201" s="490" t="s">
        <v>788</v>
      </c>
      <c r="E201" s="496" t="s">
        <v>789</v>
      </c>
      <c r="F201" s="492" t="s">
        <v>790</v>
      </c>
      <c r="G201" s="509" t="s">
        <v>791</v>
      </c>
    </row>
    <row r="202" spans="1:7" s="381" customFormat="1" ht="15" customHeight="1" x14ac:dyDescent="0.25">
      <c r="A202" s="545">
        <v>402</v>
      </c>
      <c r="B202" s="546" t="s">
        <v>817</v>
      </c>
      <c r="C202" s="499" t="s">
        <v>824</v>
      </c>
      <c r="D202" s="539" t="s">
        <v>62</v>
      </c>
      <c r="E202" s="498">
        <v>1</v>
      </c>
      <c r="F202" s="540">
        <v>17.260000000000002</v>
      </c>
      <c r="G202" s="510">
        <f t="shared" ref="G202" si="10">TRUNC(E202*F202,2)</f>
        <v>17.260000000000002</v>
      </c>
    </row>
    <row r="203" spans="1:7" s="381" customFormat="1" ht="15" customHeight="1" x14ac:dyDescent="0.25">
      <c r="A203" s="815" t="s">
        <v>21</v>
      </c>
      <c r="B203" s="816"/>
      <c r="C203" s="816"/>
      <c r="D203" s="816"/>
      <c r="E203" s="816"/>
      <c r="F203" s="816"/>
      <c r="G203" s="532">
        <f>SUM(G202)</f>
        <v>17.260000000000002</v>
      </c>
    </row>
    <row r="204" spans="1:7" s="381" customFormat="1" ht="15" customHeight="1" x14ac:dyDescent="0.25">
      <c r="A204" s="797" t="s">
        <v>796</v>
      </c>
      <c r="B204" s="786"/>
      <c r="C204" s="786"/>
      <c r="D204" s="786"/>
      <c r="E204" s="786"/>
      <c r="F204" s="786"/>
      <c r="G204" s="512">
        <f>G199+G202</f>
        <v>25.740000000000002</v>
      </c>
    </row>
    <row r="205" spans="1:7" ht="15.75" customHeight="1" x14ac:dyDescent="0.25">
      <c r="A205" s="806"/>
      <c r="B205" s="807"/>
      <c r="C205" s="807"/>
      <c r="D205" s="807"/>
      <c r="E205" s="807"/>
      <c r="F205" s="807"/>
      <c r="G205" s="808"/>
    </row>
    <row r="206" spans="1:7" x14ac:dyDescent="0.25">
      <c r="A206" s="772" t="s">
        <v>1226</v>
      </c>
      <c r="B206" s="773"/>
      <c r="C206" s="773"/>
      <c r="D206" s="773"/>
      <c r="E206" s="773"/>
      <c r="F206" s="773"/>
      <c r="G206" s="774"/>
    </row>
    <row r="207" spans="1:7" x14ac:dyDescent="0.25">
      <c r="A207" s="772"/>
      <c r="B207" s="773"/>
      <c r="C207" s="773"/>
      <c r="D207" s="773"/>
      <c r="E207" s="773"/>
      <c r="F207" s="773"/>
      <c r="G207" s="774"/>
    </row>
    <row r="208" spans="1:7" x14ac:dyDescent="0.25">
      <c r="A208" s="806"/>
      <c r="B208" s="807"/>
      <c r="C208" s="807"/>
      <c r="D208" s="807"/>
      <c r="E208" s="807"/>
      <c r="F208" s="807"/>
      <c r="G208" s="808"/>
    </row>
    <row r="209" spans="1:7" ht="34.5" customHeight="1" x14ac:dyDescent="0.25">
      <c r="A209" s="790" t="s">
        <v>1436</v>
      </c>
      <c r="B209" s="791"/>
      <c r="C209" s="826" t="str">
        <f>C216</f>
        <v>CABECOTE PARA ENTRADA DE LINHA DE ALIMENTACAO PARA ELETRODUTO, EM LIGA DE ALUMINIO COM ACABAMENTO ANTI CORROSIVO, COM FIXACAO POR ENCAIXE LISO DE 360 GRAUS, DE 3"</v>
      </c>
      <c r="D209" s="826"/>
      <c r="E209" s="826"/>
      <c r="F209" s="826"/>
      <c r="G209" s="827"/>
    </row>
    <row r="210" spans="1:7" s="381" customFormat="1" x14ac:dyDescent="0.25">
      <c r="A210" s="780"/>
      <c r="B210" s="781"/>
      <c r="C210" s="781"/>
      <c r="D210" s="781"/>
      <c r="E210" s="781"/>
      <c r="F210" s="781"/>
      <c r="G210" s="782"/>
    </row>
    <row r="211" spans="1:7" x14ac:dyDescent="0.25">
      <c r="A211" s="507" t="s">
        <v>785</v>
      </c>
      <c r="B211" s="485" t="s">
        <v>786</v>
      </c>
      <c r="C211" s="489" t="s">
        <v>787</v>
      </c>
      <c r="D211" s="490" t="s">
        <v>788</v>
      </c>
      <c r="E211" s="491" t="s">
        <v>789</v>
      </c>
      <c r="F211" s="492" t="s">
        <v>790</v>
      </c>
      <c r="G211" s="509" t="s">
        <v>791</v>
      </c>
    </row>
    <row r="212" spans="1:7" x14ac:dyDescent="0.25">
      <c r="A212" s="545">
        <v>88264</v>
      </c>
      <c r="B212" s="546" t="s">
        <v>792</v>
      </c>
      <c r="C212" s="499" t="s">
        <v>807</v>
      </c>
      <c r="D212" s="542" t="s">
        <v>799</v>
      </c>
      <c r="E212" s="495">
        <v>0.54</v>
      </c>
      <c r="F212" s="543">
        <v>23.24</v>
      </c>
      <c r="G212" s="514">
        <f>TRUNC(F212*E212,2)</f>
        <v>12.54</v>
      </c>
    </row>
    <row r="213" spans="1:7" s="381" customFormat="1" x14ac:dyDescent="0.25">
      <c r="A213" s="788" t="s">
        <v>21</v>
      </c>
      <c r="B213" s="789"/>
      <c r="C213" s="789"/>
      <c r="D213" s="789"/>
      <c r="E213" s="789"/>
      <c r="F213" s="789"/>
      <c r="G213" s="511">
        <f>SUM(G212:G212)</f>
        <v>12.54</v>
      </c>
    </row>
    <row r="214" spans="1:7" s="381" customFormat="1" x14ac:dyDescent="0.25">
      <c r="A214" s="780"/>
      <c r="B214" s="781"/>
      <c r="C214" s="781"/>
      <c r="D214" s="781"/>
      <c r="E214" s="781"/>
      <c r="F214" s="781"/>
      <c r="G214" s="782"/>
    </row>
    <row r="215" spans="1:7" s="381" customFormat="1" x14ac:dyDescent="0.25">
      <c r="A215" s="507" t="s">
        <v>785</v>
      </c>
      <c r="B215" s="485" t="s">
        <v>786</v>
      </c>
      <c r="C215" s="489" t="s">
        <v>801</v>
      </c>
      <c r="D215" s="490" t="s">
        <v>788</v>
      </c>
      <c r="E215" s="496" t="s">
        <v>789</v>
      </c>
      <c r="F215" s="492" t="s">
        <v>790</v>
      </c>
      <c r="G215" s="509" t="s">
        <v>791</v>
      </c>
    </row>
    <row r="216" spans="1:7" s="381" customFormat="1" ht="51.75" customHeight="1" x14ac:dyDescent="0.25">
      <c r="A216" s="545">
        <v>1102</v>
      </c>
      <c r="B216" s="546" t="s">
        <v>817</v>
      </c>
      <c r="C216" s="499" t="s">
        <v>1268</v>
      </c>
      <c r="D216" s="539" t="s">
        <v>62</v>
      </c>
      <c r="E216" s="498">
        <v>1</v>
      </c>
      <c r="F216" s="540">
        <v>41.53</v>
      </c>
      <c r="G216" s="510">
        <f t="shared" ref="G216" si="11">TRUNC(E216*F216,2)</f>
        <v>41.53</v>
      </c>
    </row>
    <row r="217" spans="1:7" s="381" customFormat="1" x14ac:dyDescent="0.25">
      <c r="A217" s="815" t="s">
        <v>21</v>
      </c>
      <c r="B217" s="816"/>
      <c r="C217" s="816"/>
      <c r="D217" s="816"/>
      <c r="E217" s="816"/>
      <c r="F217" s="816"/>
      <c r="G217" s="532">
        <f>SUM(G216)</f>
        <v>41.53</v>
      </c>
    </row>
    <row r="218" spans="1:7" s="381" customFormat="1" x14ac:dyDescent="0.25">
      <c r="A218" s="797" t="s">
        <v>796</v>
      </c>
      <c r="B218" s="786"/>
      <c r="C218" s="786"/>
      <c r="D218" s="786"/>
      <c r="E218" s="786"/>
      <c r="F218" s="786"/>
      <c r="G218" s="512">
        <f>G213+G216</f>
        <v>54.07</v>
      </c>
    </row>
    <row r="219" spans="1:7" s="381" customFormat="1" x14ac:dyDescent="0.25">
      <c r="A219" s="806"/>
      <c r="B219" s="807"/>
      <c r="C219" s="807"/>
      <c r="D219" s="807"/>
      <c r="E219" s="807"/>
      <c r="F219" s="807"/>
      <c r="G219" s="808"/>
    </row>
    <row r="220" spans="1:7" s="381" customFormat="1" x14ac:dyDescent="0.25">
      <c r="A220" s="772" t="s">
        <v>1649</v>
      </c>
      <c r="B220" s="773"/>
      <c r="C220" s="773"/>
      <c r="D220" s="773"/>
      <c r="E220" s="773"/>
      <c r="F220" s="773"/>
      <c r="G220" s="774"/>
    </row>
    <row r="221" spans="1:7" s="381" customFormat="1" x14ac:dyDescent="0.25">
      <c r="A221" s="772"/>
      <c r="B221" s="773"/>
      <c r="C221" s="773"/>
      <c r="D221" s="773"/>
      <c r="E221" s="773"/>
      <c r="F221" s="773"/>
      <c r="G221" s="774"/>
    </row>
    <row r="222" spans="1:7" s="381" customFormat="1" x14ac:dyDescent="0.25">
      <c r="A222" s="806"/>
      <c r="B222" s="807"/>
      <c r="C222" s="807"/>
      <c r="D222" s="807"/>
      <c r="E222" s="807"/>
      <c r="F222" s="807"/>
      <c r="G222" s="808"/>
    </row>
    <row r="223" spans="1:7" x14ac:dyDescent="0.25">
      <c r="A223" s="790" t="s">
        <v>1437</v>
      </c>
      <c r="B223" s="791"/>
      <c r="C223" s="798" t="str">
        <f>C231</f>
        <v>CABO DE COBRE NU 50 MM2 MEIO-DURO</v>
      </c>
      <c r="D223" s="798"/>
      <c r="E223" s="798"/>
      <c r="F223" s="798"/>
      <c r="G223" s="799"/>
    </row>
    <row r="224" spans="1:7" x14ac:dyDescent="0.25">
      <c r="A224" s="780"/>
      <c r="B224" s="781"/>
      <c r="C224" s="781"/>
      <c r="D224" s="781"/>
      <c r="E224" s="781"/>
      <c r="F224" s="781"/>
      <c r="G224" s="782"/>
    </row>
    <row r="225" spans="1:7" x14ac:dyDescent="0.25">
      <c r="A225" s="507" t="s">
        <v>785</v>
      </c>
      <c r="B225" s="485" t="s">
        <v>786</v>
      </c>
      <c r="C225" s="489" t="s">
        <v>787</v>
      </c>
      <c r="D225" s="490" t="s">
        <v>788</v>
      </c>
      <c r="E225" s="491" t="s">
        <v>789</v>
      </c>
      <c r="F225" s="492" t="s">
        <v>790</v>
      </c>
      <c r="G225" s="509" t="s">
        <v>791</v>
      </c>
    </row>
    <row r="226" spans="1:7" s="381" customFormat="1" x14ac:dyDescent="0.25">
      <c r="A226" s="545">
        <v>88247</v>
      </c>
      <c r="B226" s="546" t="s">
        <v>792</v>
      </c>
      <c r="C226" s="499" t="s">
        <v>806</v>
      </c>
      <c r="D226" s="542" t="s">
        <v>799</v>
      </c>
      <c r="E226" s="574">
        <v>0.31</v>
      </c>
      <c r="F226" s="543">
        <v>19.2</v>
      </c>
      <c r="G226" s="514">
        <f>TRUNC(F226*E226,2)</f>
        <v>5.95</v>
      </c>
    </row>
    <row r="227" spans="1:7" s="381" customFormat="1" x14ac:dyDescent="0.25">
      <c r="A227" s="545">
        <v>88264</v>
      </c>
      <c r="B227" s="546" t="s">
        <v>792</v>
      </c>
      <c r="C227" s="499" t="s">
        <v>807</v>
      </c>
      <c r="D227" s="542" t="s">
        <v>799</v>
      </c>
      <c r="E227" s="574">
        <v>0.31</v>
      </c>
      <c r="F227" s="543">
        <v>23.24</v>
      </c>
      <c r="G227" s="514">
        <f>TRUNC(F227*E227,2)</f>
        <v>7.2</v>
      </c>
    </row>
    <row r="228" spans="1:7" x14ac:dyDescent="0.25">
      <c r="A228" s="788" t="s">
        <v>21</v>
      </c>
      <c r="B228" s="789"/>
      <c r="C228" s="789"/>
      <c r="D228" s="789"/>
      <c r="E228" s="789"/>
      <c r="F228" s="789"/>
      <c r="G228" s="511">
        <f>SUM(G226:G227)</f>
        <v>13.15</v>
      </c>
    </row>
    <row r="229" spans="1:7" s="381" customFormat="1" x14ac:dyDescent="0.25">
      <c r="A229" s="780"/>
      <c r="B229" s="781"/>
      <c r="C229" s="781"/>
      <c r="D229" s="781"/>
      <c r="E229" s="781"/>
      <c r="F229" s="781"/>
      <c r="G229" s="782"/>
    </row>
    <row r="230" spans="1:7" x14ac:dyDescent="0.25">
      <c r="A230" s="507" t="s">
        <v>785</v>
      </c>
      <c r="B230" s="485" t="s">
        <v>786</v>
      </c>
      <c r="C230" s="489" t="s">
        <v>801</v>
      </c>
      <c r="D230" s="490" t="s">
        <v>788</v>
      </c>
      <c r="E230" s="496" t="s">
        <v>789</v>
      </c>
      <c r="F230" s="492" t="s">
        <v>790</v>
      </c>
      <c r="G230" s="509" t="s">
        <v>791</v>
      </c>
    </row>
    <row r="231" spans="1:7" x14ac:dyDescent="0.25">
      <c r="A231" s="545">
        <v>867</v>
      </c>
      <c r="B231" s="546" t="s">
        <v>817</v>
      </c>
      <c r="C231" s="499" t="s">
        <v>1253</v>
      </c>
      <c r="D231" s="539" t="s">
        <v>275</v>
      </c>
      <c r="E231" s="498">
        <v>1</v>
      </c>
      <c r="F231" s="540">
        <v>49</v>
      </c>
      <c r="G231" s="510">
        <f t="shared" ref="G231" si="12">TRUNC(E231*F231,2)</f>
        <v>49</v>
      </c>
    </row>
    <row r="232" spans="1:7" x14ac:dyDescent="0.25">
      <c r="A232" s="815" t="s">
        <v>21</v>
      </c>
      <c r="B232" s="816"/>
      <c r="C232" s="816"/>
      <c r="D232" s="816"/>
      <c r="E232" s="816"/>
      <c r="F232" s="816"/>
      <c r="G232" s="532">
        <f>SUM(G231)</f>
        <v>49</v>
      </c>
    </row>
    <row r="233" spans="1:7" ht="15" customHeight="1" x14ac:dyDescent="0.25">
      <c r="A233" s="797" t="s">
        <v>796</v>
      </c>
      <c r="B233" s="786"/>
      <c r="C233" s="786"/>
      <c r="D233" s="786"/>
      <c r="E233" s="786"/>
      <c r="F233" s="786"/>
      <c r="G233" s="512">
        <f>G228+G231</f>
        <v>62.15</v>
      </c>
    </row>
    <row r="234" spans="1:7" s="381" customFormat="1" ht="15.75" customHeight="1" x14ac:dyDescent="0.25">
      <c r="A234" s="806"/>
      <c r="B234" s="807"/>
      <c r="C234" s="807"/>
      <c r="D234" s="807"/>
      <c r="E234" s="807"/>
      <c r="F234" s="807"/>
      <c r="G234" s="808"/>
    </row>
    <row r="235" spans="1:7" s="381" customFormat="1" x14ac:dyDescent="0.25">
      <c r="A235" s="772" t="s">
        <v>1672</v>
      </c>
      <c r="B235" s="773"/>
      <c r="C235" s="773"/>
      <c r="D235" s="773"/>
      <c r="E235" s="773"/>
      <c r="F235" s="773"/>
      <c r="G235" s="774"/>
    </row>
    <row r="236" spans="1:7" x14ac:dyDescent="0.25">
      <c r="A236" s="772"/>
      <c r="B236" s="773"/>
      <c r="C236" s="773"/>
      <c r="D236" s="773"/>
      <c r="E236" s="773"/>
      <c r="F236" s="773"/>
      <c r="G236" s="774"/>
    </row>
    <row r="237" spans="1:7" s="381" customFormat="1" x14ac:dyDescent="0.25">
      <c r="A237" s="841"/>
      <c r="B237" s="775"/>
      <c r="C237" s="775"/>
      <c r="D237" s="775"/>
      <c r="E237" s="775"/>
      <c r="F237" s="775"/>
      <c r="G237" s="842"/>
    </row>
    <row r="238" spans="1:7" x14ac:dyDescent="0.25">
      <c r="A238" s="790" t="s">
        <v>1438</v>
      </c>
      <c r="B238" s="791"/>
      <c r="C238" s="798" t="str">
        <f>C246</f>
        <v>ARRUELA EM ALUMINIO, COM ROSCA, DE 3", PARA ELETRODUTO</v>
      </c>
      <c r="D238" s="798"/>
      <c r="E238" s="798"/>
      <c r="F238" s="798"/>
      <c r="G238" s="799"/>
    </row>
    <row r="239" spans="1:7" x14ac:dyDescent="0.25">
      <c r="A239" s="780"/>
      <c r="B239" s="781"/>
      <c r="C239" s="781"/>
      <c r="D239" s="781"/>
      <c r="E239" s="781"/>
      <c r="F239" s="781"/>
      <c r="G239" s="782"/>
    </row>
    <row r="240" spans="1:7" s="381" customFormat="1" x14ac:dyDescent="0.25">
      <c r="A240" s="507" t="s">
        <v>785</v>
      </c>
      <c r="B240" s="485" t="s">
        <v>786</v>
      </c>
      <c r="C240" s="489" t="s">
        <v>787</v>
      </c>
      <c r="D240" s="490" t="s">
        <v>788</v>
      </c>
      <c r="E240" s="491" t="s">
        <v>789</v>
      </c>
      <c r="F240" s="492" t="s">
        <v>790</v>
      </c>
      <c r="G240" s="509" t="s">
        <v>791</v>
      </c>
    </row>
    <row r="241" spans="1:7" s="381" customFormat="1" x14ac:dyDescent="0.25">
      <c r="A241" s="545">
        <v>88247</v>
      </c>
      <c r="B241" s="546" t="s">
        <v>792</v>
      </c>
      <c r="C241" s="499" t="s">
        <v>806</v>
      </c>
      <c r="D241" s="542" t="s">
        <v>799</v>
      </c>
      <c r="E241" s="495">
        <v>0.02</v>
      </c>
      <c r="F241" s="543">
        <v>19.2</v>
      </c>
      <c r="G241" s="514">
        <f>TRUNC(F241*E241,2)</f>
        <v>0.38</v>
      </c>
    </row>
    <row r="242" spans="1:7" s="381" customFormat="1" x14ac:dyDescent="0.25">
      <c r="A242" s="545">
        <v>88264</v>
      </c>
      <c r="B242" s="546" t="s">
        <v>792</v>
      </c>
      <c r="C242" s="499" t="s">
        <v>807</v>
      </c>
      <c r="D242" s="542" t="s">
        <v>799</v>
      </c>
      <c r="E242" s="495">
        <v>0.02</v>
      </c>
      <c r="F242" s="543">
        <v>23.24</v>
      </c>
      <c r="G242" s="514">
        <f>TRUNC(F242*E242,2)</f>
        <v>0.46</v>
      </c>
    </row>
    <row r="243" spans="1:7" s="381" customFormat="1" x14ac:dyDescent="0.25">
      <c r="A243" s="788" t="s">
        <v>21</v>
      </c>
      <c r="B243" s="789"/>
      <c r="C243" s="789"/>
      <c r="D243" s="789"/>
      <c r="E243" s="789"/>
      <c r="F243" s="789"/>
      <c r="G243" s="511">
        <f>SUM(G241:G242)</f>
        <v>0.84000000000000008</v>
      </c>
    </row>
    <row r="244" spans="1:7" x14ac:dyDescent="0.25">
      <c r="A244" s="780"/>
      <c r="B244" s="781"/>
      <c r="C244" s="781"/>
      <c r="D244" s="781"/>
      <c r="E244" s="781"/>
      <c r="F244" s="781"/>
      <c r="G244" s="782"/>
    </row>
    <row r="245" spans="1:7" x14ac:dyDescent="0.25">
      <c r="A245" s="507" t="s">
        <v>785</v>
      </c>
      <c r="B245" s="485" t="s">
        <v>786</v>
      </c>
      <c r="C245" s="489" t="s">
        <v>801</v>
      </c>
      <c r="D245" s="490" t="s">
        <v>788</v>
      </c>
      <c r="E245" s="496" t="s">
        <v>789</v>
      </c>
      <c r="F245" s="492" t="s">
        <v>790</v>
      </c>
      <c r="G245" s="509" t="s">
        <v>791</v>
      </c>
    </row>
    <row r="246" spans="1:7" x14ac:dyDescent="0.25">
      <c r="A246" s="545">
        <v>39215</v>
      </c>
      <c r="B246" s="546" t="s">
        <v>817</v>
      </c>
      <c r="C246" s="499" t="s">
        <v>1256</v>
      </c>
      <c r="D246" s="539" t="s">
        <v>62</v>
      </c>
      <c r="E246" s="498">
        <v>1</v>
      </c>
      <c r="F246" s="540">
        <v>5.84</v>
      </c>
      <c r="G246" s="510">
        <f t="shared" ref="G246" si="13">TRUNC(E246*F246,2)</f>
        <v>5.84</v>
      </c>
    </row>
    <row r="247" spans="1:7" x14ac:dyDescent="0.25">
      <c r="A247" s="815" t="s">
        <v>21</v>
      </c>
      <c r="B247" s="816"/>
      <c r="C247" s="816"/>
      <c r="D247" s="816"/>
      <c r="E247" s="816"/>
      <c r="F247" s="816"/>
      <c r="G247" s="532">
        <f>SUM(G246)</f>
        <v>5.84</v>
      </c>
    </row>
    <row r="248" spans="1:7" ht="15" customHeight="1" x14ac:dyDescent="0.25">
      <c r="A248" s="797" t="s">
        <v>796</v>
      </c>
      <c r="B248" s="786"/>
      <c r="C248" s="786"/>
      <c r="D248" s="786"/>
      <c r="E248" s="786"/>
      <c r="F248" s="786"/>
      <c r="G248" s="512">
        <f>G243+G247</f>
        <v>6.68</v>
      </c>
    </row>
    <row r="249" spans="1:7" ht="15.75" customHeight="1" x14ac:dyDescent="0.25">
      <c r="A249" s="806"/>
      <c r="B249" s="807"/>
      <c r="C249" s="807"/>
      <c r="D249" s="807"/>
      <c r="E249" s="807"/>
      <c r="F249" s="807"/>
      <c r="G249" s="808"/>
    </row>
    <row r="250" spans="1:7" x14ac:dyDescent="0.25">
      <c r="A250" s="772" t="s">
        <v>1650</v>
      </c>
      <c r="B250" s="773"/>
      <c r="C250" s="773"/>
      <c r="D250" s="773"/>
      <c r="E250" s="773"/>
      <c r="F250" s="773"/>
      <c r="G250" s="774"/>
    </row>
    <row r="251" spans="1:7" x14ac:dyDescent="0.25">
      <c r="A251" s="772"/>
      <c r="B251" s="773"/>
      <c r="C251" s="773"/>
      <c r="D251" s="773"/>
      <c r="E251" s="773"/>
      <c r="F251" s="773"/>
      <c r="G251" s="774"/>
    </row>
    <row r="252" spans="1:7" x14ac:dyDescent="0.25">
      <c r="A252" s="841"/>
      <c r="B252" s="775"/>
      <c r="C252" s="775"/>
      <c r="D252" s="775"/>
      <c r="E252" s="775"/>
      <c r="F252" s="775"/>
      <c r="G252" s="842"/>
    </row>
    <row r="253" spans="1:7" x14ac:dyDescent="0.25">
      <c r="A253" s="790" t="s">
        <v>1439</v>
      </c>
      <c r="B253" s="791"/>
      <c r="C253" s="798" t="str">
        <f>C261</f>
        <v>FITA ACO INOX PARA CINTAR POSTE, L = 19 MM, E = 0,5 MM (ROLO DE 30M)</v>
      </c>
      <c r="D253" s="798"/>
      <c r="E253" s="798"/>
      <c r="F253" s="798"/>
      <c r="G253" s="799"/>
    </row>
    <row r="254" spans="1:7" s="381" customFormat="1" x14ac:dyDescent="0.25">
      <c r="A254" s="780"/>
      <c r="B254" s="781"/>
      <c r="C254" s="781"/>
      <c r="D254" s="781"/>
      <c r="E254" s="781"/>
      <c r="F254" s="781"/>
      <c r="G254" s="782"/>
    </row>
    <row r="255" spans="1:7" s="381" customFormat="1" x14ac:dyDescent="0.25">
      <c r="A255" s="507" t="s">
        <v>785</v>
      </c>
      <c r="B255" s="485" t="s">
        <v>786</v>
      </c>
      <c r="C255" s="489" t="s">
        <v>787</v>
      </c>
      <c r="D255" s="490" t="s">
        <v>788</v>
      </c>
      <c r="E255" s="491" t="s">
        <v>789</v>
      </c>
      <c r="F255" s="492" t="s">
        <v>790</v>
      </c>
      <c r="G255" s="509" t="s">
        <v>791</v>
      </c>
    </row>
    <row r="256" spans="1:7" x14ac:dyDescent="0.25">
      <c r="A256" s="545">
        <v>88247</v>
      </c>
      <c r="B256" s="546" t="s">
        <v>792</v>
      </c>
      <c r="C256" s="499" t="s">
        <v>806</v>
      </c>
      <c r="D256" s="542" t="s">
        <v>799</v>
      </c>
      <c r="E256" s="495">
        <v>0.2</v>
      </c>
      <c r="F256" s="543">
        <v>19.2</v>
      </c>
      <c r="G256" s="514">
        <f>TRUNC(F256*E256,2)</f>
        <v>3.84</v>
      </c>
    </row>
    <row r="257" spans="1:7" s="381" customFormat="1" x14ac:dyDescent="0.25">
      <c r="A257" s="545">
        <v>88264</v>
      </c>
      <c r="B257" s="546" t="s">
        <v>792</v>
      </c>
      <c r="C257" s="499" t="s">
        <v>807</v>
      </c>
      <c r="D257" s="542" t="s">
        <v>799</v>
      </c>
      <c r="E257" s="495">
        <v>0.2</v>
      </c>
      <c r="F257" s="543">
        <v>23.24</v>
      </c>
      <c r="G257" s="514">
        <f>TRUNC(F257*E257,2)</f>
        <v>4.6399999999999997</v>
      </c>
    </row>
    <row r="258" spans="1:7" x14ac:dyDescent="0.25">
      <c r="A258" s="788" t="s">
        <v>21</v>
      </c>
      <c r="B258" s="789"/>
      <c r="C258" s="789"/>
      <c r="D258" s="789"/>
      <c r="E258" s="789"/>
      <c r="F258" s="789"/>
      <c r="G258" s="511">
        <f>SUM(G256:G257)</f>
        <v>8.48</v>
      </c>
    </row>
    <row r="259" spans="1:7" s="381" customFormat="1" x14ac:dyDescent="0.25">
      <c r="A259" s="780"/>
      <c r="B259" s="781"/>
      <c r="C259" s="781"/>
      <c r="D259" s="781"/>
      <c r="E259" s="781"/>
      <c r="F259" s="781"/>
      <c r="G259" s="782"/>
    </row>
    <row r="260" spans="1:7" s="381" customFormat="1" x14ac:dyDescent="0.25">
      <c r="A260" s="507" t="s">
        <v>785</v>
      </c>
      <c r="B260" s="485" t="s">
        <v>786</v>
      </c>
      <c r="C260" s="489" t="s">
        <v>801</v>
      </c>
      <c r="D260" s="490" t="s">
        <v>788</v>
      </c>
      <c r="E260" s="496" t="s">
        <v>789</v>
      </c>
      <c r="F260" s="492" t="s">
        <v>790</v>
      </c>
      <c r="G260" s="509" t="s">
        <v>791</v>
      </c>
    </row>
    <row r="261" spans="1:7" s="381" customFormat="1" ht="15" customHeight="1" x14ac:dyDescent="0.25">
      <c r="A261" s="545">
        <v>406</v>
      </c>
      <c r="B261" s="546" t="s">
        <v>817</v>
      </c>
      <c r="C261" s="499" t="s">
        <v>1190</v>
      </c>
      <c r="D261" s="539" t="s">
        <v>62</v>
      </c>
      <c r="E261" s="498">
        <v>1</v>
      </c>
      <c r="F261" s="540">
        <v>104.61</v>
      </c>
      <c r="G261" s="510">
        <f t="shared" ref="G261" si="14">TRUNC(E261*F261,2)</f>
        <v>104.61</v>
      </c>
    </row>
    <row r="262" spans="1:7" s="381" customFormat="1" ht="15" customHeight="1" x14ac:dyDescent="0.25">
      <c r="A262" s="815" t="s">
        <v>21</v>
      </c>
      <c r="B262" s="816"/>
      <c r="C262" s="816"/>
      <c r="D262" s="816"/>
      <c r="E262" s="816"/>
      <c r="F262" s="816"/>
      <c r="G262" s="532">
        <f>G261</f>
        <v>104.61</v>
      </c>
    </row>
    <row r="263" spans="1:7" s="381" customFormat="1" x14ac:dyDescent="0.25">
      <c r="A263" s="797" t="s">
        <v>796</v>
      </c>
      <c r="B263" s="786"/>
      <c r="C263" s="786"/>
      <c r="D263" s="786"/>
      <c r="E263" s="786"/>
      <c r="F263" s="786"/>
      <c r="G263" s="512">
        <f>G258+G262</f>
        <v>113.09</v>
      </c>
    </row>
    <row r="264" spans="1:7" s="381" customFormat="1" x14ac:dyDescent="0.25">
      <c r="A264" s="806"/>
      <c r="B264" s="807"/>
      <c r="C264" s="807"/>
      <c r="D264" s="807"/>
      <c r="E264" s="807"/>
      <c r="F264" s="807"/>
      <c r="G264" s="808"/>
    </row>
    <row r="265" spans="1:7" s="381" customFormat="1" x14ac:dyDescent="0.25">
      <c r="A265" s="772" t="s">
        <v>1227</v>
      </c>
      <c r="B265" s="773"/>
      <c r="C265" s="773"/>
      <c r="D265" s="773"/>
      <c r="E265" s="773"/>
      <c r="F265" s="773"/>
      <c r="G265" s="774"/>
    </row>
    <row r="266" spans="1:7" s="381" customFormat="1" x14ac:dyDescent="0.25">
      <c r="A266" s="772"/>
      <c r="B266" s="773"/>
      <c r="C266" s="773"/>
      <c r="D266" s="773"/>
      <c r="E266" s="773"/>
      <c r="F266" s="773"/>
      <c r="G266" s="774"/>
    </row>
    <row r="267" spans="1:7" s="381" customFormat="1" x14ac:dyDescent="0.25">
      <c r="A267" s="806"/>
      <c r="B267" s="807"/>
      <c r="C267" s="807"/>
      <c r="D267" s="807"/>
      <c r="E267" s="807"/>
      <c r="F267" s="807"/>
      <c r="G267" s="808"/>
    </row>
    <row r="268" spans="1:7" s="381" customFormat="1" x14ac:dyDescent="0.25">
      <c r="A268" s="790" t="s">
        <v>1440</v>
      </c>
      <c r="B268" s="791"/>
      <c r="C268" s="834" t="str">
        <f>C276</f>
        <v>GRAMPO METALICO TIPO OLHAL PARA HASTE DE ATERRAMENTO DE 5/8'', CONDUTOR DE *10* A 50 MM2</v>
      </c>
      <c r="D268" s="834"/>
      <c r="E268" s="834"/>
      <c r="F268" s="834"/>
      <c r="G268" s="835"/>
    </row>
    <row r="269" spans="1:7" x14ac:dyDescent="0.25">
      <c r="A269" s="780"/>
      <c r="B269" s="781"/>
      <c r="C269" s="781"/>
      <c r="D269" s="781"/>
      <c r="E269" s="781"/>
      <c r="F269" s="781"/>
      <c r="G269" s="782"/>
    </row>
    <row r="270" spans="1:7" x14ac:dyDescent="0.25">
      <c r="A270" s="507" t="s">
        <v>785</v>
      </c>
      <c r="B270" s="485" t="s">
        <v>786</v>
      </c>
      <c r="C270" s="489" t="s">
        <v>787</v>
      </c>
      <c r="D270" s="490" t="s">
        <v>788</v>
      </c>
      <c r="E270" s="491" t="s">
        <v>789</v>
      </c>
      <c r="F270" s="492" t="s">
        <v>790</v>
      </c>
      <c r="G270" s="509" t="s">
        <v>791</v>
      </c>
    </row>
    <row r="271" spans="1:7" x14ac:dyDescent="0.25">
      <c r="A271" s="545">
        <v>88247</v>
      </c>
      <c r="B271" s="546" t="s">
        <v>792</v>
      </c>
      <c r="C271" s="499" t="s">
        <v>806</v>
      </c>
      <c r="D271" s="542" t="s">
        <v>799</v>
      </c>
      <c r="E271" s="495">
        <v>0.31900000000000001</v>
      </c>
      <c r="F271" s="543">
        <v>19.2</v>
      </c>
      <c r="G271" s="514">
        <f>TRUNC(F271*E271,2)</f>
        <v>6.12</v>
      </c>
    </row>
    <row r="272" spans="1:7" s="381" customFormat="1" x14ac:dyDescent="0.25">
      <c r="A272" s="545">
        <v>88264</v>
      </c>
      <c r="B272" s="546" t="s">
        <v>792</v>
      </c>
      <c r="C272" s="499" t="s">
        <v>807</v>
      </c>
      <c r="D272" s="542" t="s">
        <v>799</v>
      </c>
      <c r="E272" s="495">
        <v>0.31900000000000001</v>
      </c>
      <c r="F272" s="543">
        <v>23.24</v>
      </c>
      <c r="G272" s="514">
        <f>TRUNC(F272*E272,2)</f>
        <v>7.41</v>
      </c>
    </row>
    <row r="273" spans="1:7" s="381" customFormat="1" x14ac:dyDescent="0.25">
      <c r="A273" s="788" t="s">
        <v>21</v>
      </c>
      <c r="B273" s="789"/>
      <c r="C273" s="789"/>
      <c r="D273" s="789"/>
      <c r="E273" s="789"/>
      <c r="F273" s="789"/>
      <c r="G273" s="511">
        <f>SUM(G271:G272)</f>
        <v>13.530000000000001</v>
      </c>
    </row>
    <row r="274" spans="1:7" s="381" customFormat="1" x14ac:dyDescent="0.25">
      <c r="A274" s="780"/>
      <c r="B274" s="781"/>
      <c r="C274" s="781"/>
      <c r="D274" s="781"/>
      <c r="E274" s="781"/>
      <c r="F274" s="781"/>
      <c r="G274" s="782"/>
    </row>
    <row r="275" spans="1:7" x14ac:dyDescent="0.25">
      <c r="A275" s="507" t="s">
        <v>785</v>
      </c>
      <c r="B275" s="485" t="s">
        <v>786</v>
      </c>
      <c r="C275" s="489" t="s">
        <v>801</v>
      </c>
      <c r="D275" s="490" t="s">
        <v>788</v>
      </c>
      <c r="E275" s="496" t="s">
        <v>789</v>
      </c>
      <c r="F275" s="492" t="s">
        <v>790</v>
      </c>
      <c r="G275" s="509" t="s">
        <v>791</v>
      </c>
    </row>
    <row r="276" spans="1:7" s="381" customFormat="1" ht="30" x14ac:dyDescent="0.25">
      <c r="A276" s="545">
        <v>425</v>
      </c>
      <c r="B276" s="546" t="s">
        <v>1257</v>
      </c>
      <c r="C276" s="499" t="s">
        <v>1614</v>
      </c>
      <c r="D276" s="539" t="s">
        <v>62</v>
      </c>
      <c r="E276" s="498">
        <v>1</v>
      </c>
      <c r="F276" s="540">
        <v>6.53</v>
      </c>
      <c r="G276" s="514">
        <f>TRUNC(F276*E276,2)</f>
        <v>6.53</v>
      </c>
    </row>
    <row r="277" spans="1:7" s="381" customFormat="1" x14ac:dyDescent="0.25">
      <c r="A277" s="788" t="s">
        <v>21</v>
      </c>
      <c r="B277" s="789"/>
      <c r="C277" s="789"/>
      <c r="D277" s="789"/>
      <c r="E277" s="789"/>
      <c r="F277" s="789"/>
      <c r="G277" s="511">
        <f>SUM(G276:G276)</f>
        <v>6.53</v>
      </c>
    </row>
    <row r="278" spans="1:7" s="381" customFormat="1" x14ac:dyDescent="0.25">
      <c r="A278" s="797" t="s">
        <v>796</v>
      </c>
      <c r="B278" s="786"/>
      <c r="C278" s="786"/>
      <c r="D278" s="786"/>
      <c r="E278" s="786"/>
      <c r="F278" s="786"/>
      <c r="G278" s="512">
        <f>G273+G277</f>
        <v>20.060000000000002</v>
      </c>
    </row>
    <row r="279" spans="1:7" x14ac:dyDescent="0.25">
      <c r="A279" s="806"/>
      <c r="B279" s="807"/>
      <c r="C279" s="807"/>
      <c r="D279" s="807"/>
      <c r="E279" s="807"/>
      <c r="F279" s="807"/>
      <c r="G279" s="808"/>
    </row>
    <row r="280" spans="1:7" x14ac:dyDescent="0.25">
      <c r="A280" s="772" t="s">
        <v>1228</v>
      </c>
      <c r="B280" s="773"/>
      <c r="C280" s="773"/>
      <c r="D280" s="773"/>
      <c r="E280" s="773"/>
      <c r="F280" s="773"/>
      <c r="G280" s="774"/>
    </row>
    <row r="281" spans="1:7" s="381" customFormat="1" x14ac:dyDescent="0.25">
      <c r="A281" s="772"/>
      <c r="B281" s="773"/>
      <c r="C281" s="773"/>
      <c r="D281" s="773"/>
      <c r="E281" s="773"/>
      <c r="F281" s="773"/>
      <c r="G281" s="774"/>
    </row>
    <row r="282" spans="1:7" s="381" customFormat="1" x14ac:dyDescent="0.25">
      <c r="A282" s="841"/>
      <c r="B282" s="775"/>
      <c r="C282" s="775"/>
      <c r="D282" s="775"/>
      <c r="E282" s="775"/>
      <c r="F282" s="775"/>
      <c r="G282" s="842"/>
    </row>
    <row r="283" spans="1:7" s="381" customFormat="1" x14ac:dyDescent="0.25">
      <c r="A283" s="790" t="s">
        <v>1441</v>
      </c>
      <c r="B283" s="791"/>
      <c r="C283" s="792" t="str">
        <f>B294</f>
        <v>ALÇA PREFORMADA ESTAI 2"</v>
      </c>
      <c r="D283" s="792"/>
      <c r="E283" s="792"/>
      <c r="F283" s="792"/>
      <c r="G283" s="793"/>
    </row>
    <row r="284" spans="1:7" s="381" customFormat="1" x14ac:dyDescent="0.25">
      <c r="A284" s="780"/>
      <c r="B284" s="781"/>
      <c r="C284" s="781"/>
      <c r="D284" s="781"/>
      <c r="E284" s="781"/>
      <c r="F284" s="781"/>
      <c r="G284" s="782"/>
    </row>
    <row r="285" spans="1:7" s="381" customFormat="1" x14ac:dyDescent="0.25">
      <c r="A285" s="507" t="s">
        <v>785</v>
      </c>
      <c r="B285" s="485" t="s">
        <v>786</v>
      </c>
      <c r="C285" s="489" t="s">
        <v>787</v>
      </c>
      <c r="D285" s="490" t="s">
        <v>788</v>
      </c>
      <c r="E285" s="491" t="s">
        <v>789</v>
      </c>
      <c r="F285" s="492" t="s">
        <v>790</v>
      </c>
      <c r="G285" s="509" t="s">
        <v>791</v>
      </c>
    </row>
    <row r="286" spans="1:7" x14ac:dyDescent="0.25">
      <c r="A286" s="545">
        <v>88247</v>
      </c>
      <c r="B286" s="546" t="s">
        <v>792</v>
      </c>
      <c r="C286" s="499" t="s">
        <v>806</v>
      </c>
      <c r="D286" s="542" t="s">
        <v>799</v>
      </c>
      <c r="E286" s="495">
        <v>1.7442699999999998E-2</v>
      </c>
      <c r="F286" s="543">
        <v>19.2</v>
      </c>
      <c r="G286" s="514">
        <f>TRUNC(F286*E286,2)</f>
        <v>0.33</v>
      </c>
    </row>
    <row r="287" spans="1:7" x14ac:dyDescent="0.25">
      <c r="A287" s="545">
        <v>88264</v>
      </c>
      <c r="B287" s="546" t="s">
        <v>792</v>
      </c>
      <c r="C287" s="499" t="s">
        <v>807</v>
      </c>
      <c r="D287" s="542" t="s">
        <v>799</v>
      </c>
      <c r="E287" s="495">
        <v>0.157</v>
      </c>
      <c r="F287" s="543">
        <v>23.24</v>
      </c>
      <c r="G287" s="514">
        <f>TRUNC(F287*E287,2)</f>
        <v>3.64</v>
      </c>
    </row>
    <row r="288" spans="1:7" x14ac:dyDescent="0.25">
      <c r="A288" s="788" t="s">
        <v>21</v>
      </c>
      <c r="B288" s="789"/>
      <c r="C288" s="789"/>
      <c r="D288" s="789"/>
      <c r="E288" s="789"/>
      <c r="F288" s="789"/>
      <c r="G288" s="511">
        <f>SUM(G286:G287)</f>
        <v>3.97</v>
      </c>
    </row>
    <row r="289" spans="1:7" x14ac:dyDescent="0.25">
      <c r="A289" s="780"/>
      <c r="B289" s="781"/>
      <c r="C289" s="781"/>
      <c r="D289" s="781"/>
      <c r="E289" s="781"/>
      <c r="F289" s="781"/>
      <c r="G289" s="782"/>
    </row>
    <row r="290" spans="1:7" s="381" customFormat="1" x14ac:dyDescent="0.25">
      <c r="A290" s="507" t="s">
        <v>785</v>
      </c>
      <c r="B290" s="485" t="s">
        <v>786</v>
      </c>
      <c r="C290" s="489" t="s">
        <v>801</v>
      </c>
      <c r="D290" s="490" t="s">
        <v>788</v>
      </c>
      <c r="E290" s="496" t="s">
        <v>789</v>
      </c>
      <c r="F290" s="492" t="s">
        <v>790</v>
      </c>
      <c r="G290" s="509" t="s">
        <v>791</v>
      </c>
    </row>
    <row r="291" spans="1:7" s="381" customFormat="1" x14ac:dyDescent="0.25">
      <c r="A291" s="515" t="s">
        <v>815</v>
      </c>
      <c r="B291" s="546" t="s">
        <v>808</v>
      </c>
      <c r="C291" s="501" t="str">
        <f>B294</f>
        <v>ALÇA PREFORMADA ESTAI 2"</v>
      </c>
      <c r="D291" s="539" t="s">
        <v>62</v>
      </c>
      <c r="E291" s="498">
        <v>1</v>
      </c>
      <c r="F291" s="540">
        <f>D299</f>
        <v>9.1999999999999993</v>
      </c>
      <c r="G291" s="514">
        <f>TRUNC(F291*E291,2)</f>
        <v>9.1999999999999993</v>
      </c>
    </row>
    <row r="292" spans="1:7" s="381" customFormat="1" x14ac:dyDescent="0.25">
      <c r="A292" s="788" t="s">
        <v>21</v>
      </c>
      <c r="B292" s="789"/>
      <c r="C292" s="789"/>
      <c r="D292" s="789"/>
      <c r="E292" s="789"/>
      <c r="F292" s="789"/>
      <c r="G292" s="511">
        <f>SUM(G291:G291)</f>
        <v>9.1999999999999993</v>
      </c>
    </row>
    <row r="293" spans="1:7" x14ac:dyDescent="0.25">
      <c r="A293" s="797" t="s">
        <v>796</v>
      </c>
      <c r="B293" s="786"/>
      <c r="C293" s="786"/>
      <c r="D293" s="786"/>
      <c r="E293" s="786"/>
      <c r="F293" s="786"/>
      <c r="G293" s="512">
        <f>G288+G292</f>
        <v>13.17</v>
      </c>
    </row>
    <row r="294" spans="1:7" x14ac:dyDescent="0.25">
      <c r="A294" s="544" t="s">
        <v>809</v>
      </c>
      <c r="B294" s="802" t="s">
        <v>1292</v>
      </c>
      <c r="C294" s="802"/>
      <c r="D294" s="784"/>
      <c r="E294" s="784"/>
      <c r="F294" s="502"/>
      <c r="G294" s="516"/>
    </row>
    <row r="295" spans="1:7" s="381" customFormat="1" x14ac:dyDescent="0.25">
      <c r="A295" s="545"/>
      <c r="B295" s="728" t="s">
        <v>1247</v>
      </c>
      <c r="C295" s="728"/>
      <c r="D295" s="784" t="s">
        <v>810</v>
      </c>
      <c r="E295" s="784"/>
      <c r="F295" s="541" t="s">
        <v>811</v>
      </c>
      <c r="G295" s="516" t="s">
        <v>1183</v>
      </c>
    </row>
    <row r="296" spans="1:7" ht="15" customHeight="1" x14ac:dyDescent="0.25">
      <c r="A296" s="517">
        <v>44740</v>
      </c>
      <c r="B296" s="775" t="s">
        <v>1358</v>
      </c>
      <c r="C296" s="775"/>
      <c r="D296" s="776">
        <v>7.11</v>
      </c>
      <c r="E296" s="776"/>
      <c r="F296" s="542" t="s">
        <v>1212</v>
      </c>
      <c r="G296" s="518" t="s">
        <v>1359</v>
      </c>
    </row>
    <row r="297" spans="1:7" s="381" customFormat="1" ht="15" customHeight="1" x14ac:dyDescent="0.25">
      <c r="A297" s="519">
        <v>44741</v>
      </c>
      <c r="B297" s="785" t="s">
        <v>1362</v>
      </c>
      <c r="C297" s="785"/>
      <c r="D297" s="783">
        <v>10.93</v>
      </c>
      <c r="E297" s="783"/>
      <c r="F297" s="539" t="s">
        <v>1182</v>
      </c>
      <c r="G297" s="520" t="s">
        <v>1363</v>
      </c>
    </row>
    <row r="298" spans="1:7" s="381" customFormat="1" ht="15" customHeight="1" x14ac:dyDescent="0.25">
      <c r="A298" s="519">
        <v>44741</v>
      </c>
      <c r="B298" s="785" t="s">
        <v>1248</v>
      </c>
      <c r="C298" s="785"/>
      <c r="D298" s="783">
        <v>9.1999999999999993</v>
      </c>
      <c r="E298" s="783"/>
      <c r="F298" s="539" t="s">
        <v>1360</v>
      </c>
      <c r="G298" s="520" t="s">
        <v>1361</v>
      </c>
    </row>
    <row r="299" spans="1:7" s="381" customFormat="1" x14ac:dyDescent="0.25">
      <c r="A299" s="787" t="s">
        <v>812</v>
      </c>
      <c r="B299" s="777"/>
      <c r="C299" s="777"/>
      <c r="D299" s="800">
        <f>MEDIAN(D296:E298)</f>
        <v>9.1999999999999993</v>
      </c>
      <c r="E299" s="800"/>
      <c r="F299" s="800"/>
      <c r="G299" s="801"/>
    </row>
    <row r="300" spans="1:7" ht="15.75" customHeight="1" x14ac:dyDescent="0.25">
      <c r="A300" s="806"/>
      <c r="B300" s="807"/>
      <c r="C300" s="807"/>
      <c r="D300" s="807"/>
      <c r="E300" s="807"/>
      <c r="F300" s="807"/>
      <c r="G300" s="808"/>
    </row>
    <row r="301" spans="1:7" x14ac:dyDescent="0.25">
      <c r="A301" s="772" t="s">
        <v>1220</v>
      </c>
      <c r="B301" s="773"/>
      <c r="C301" s="773"/>
      <c r="D301" s="773"/>
      <c r="E301" s="773"/>
      <c r="F301" s="773"/>
      <c r="G301" s="774"/>
    </row>
    <row r="302" spans="1:7" s="381" customFormat="1" x14ac:dyDescent="0.25">
      <c r="A302" s="772"/>
      <c r="B302" s="773"/>
      <c r="C302" s="773"/>
      <c r="D302" s="773"/>
      <c r="E302" s="773"/>
      <c r="F302" s="773"/>
      <c r="G302" s="774"/>
    </row>
    <row r="303" spans="1:7" s="381" customFormat="1" x14ac:dyDescent="0.25">
      <c r="A303" s="841"/>
      <c r="B303" s="775"/>
      <c r="C303" s="775"/>
      <c r="D303" s="775"/>
      <c r="E303" s="775"/>
      <c r="F303" s="775"/>
      <c r="G303" s="842"/>
    </row>
    <row r="304" spans="1:7" s="381" customFormat="1" x14ac:dyDescent="0.25">
      <c r="A304" s="790" t="s">
        <v>1442</v>
      </c>
      <c r="B304" s="791"/>
      <c r="C304" s="792" t="str">
        <f>B315</f>
        <v>ELO FUSIVEL 3H</v>
      </c>
      <c r="D304" s="792"/>
      <c r="E304" s="792"/>
      <c r="F304" s="792"/>
      <c r="G304" s="793"/>
    </row>
    <row r="305" spans="1:7" s="381" customFormat="1" x14ac:dyDescent="0.25">
      <c r="A305" s="780"/>
      <c r="B305" s="781"/>
      <c r="C305" s="781"/>
      <c r="D305" s="781"/>
      <c r="E305" s="781"/>
      <c r="F305" s="781"/>
      <c r="G305" s="782"/>
    </row>
    <row r="306" spans="1:7" x14ac:dyDescent="0.25">
      <c r="A306" s="507" t="s">
        <v>785</v>
      </c>
      <c r="B306" s="485" t="s">
        <v>786</v>
      </c>
      <c r="C306" s="489" t="s">
        <v>787</v>
      </c>
      <c r="D306" s="490" t="s">
        <v>788</v>
      </c>
      <c r="E306" s="491" t="s">
        <v>789</v>
      </c>
      <c r="F306" s="492" t="s">
        <v>790</v>
      </c>
      <c r="G306" s="509" t="s">
        <v>791</v>
      </c>
    </row>
    <row r="307" spans="1:7" x14ac:dyDescent="0.25">
      <c r="A307" s="545">
        <v>88247</v>
      </c>
      <c r="B307" s="546" t="s">
        <v>792</v>
      </c>
      <c r="C307" s="499" t="s">
        <v>806</v>
      </c>
      <c r="D307" s="542" t="s">
        <v>799</v>
      </c>
      <c r="E307" s="495">
        <v>0.15</v>
      </c>
      <c r="F307" s="543">
        <v>19.2</v>
      </c>
      <c r="G307" s="514">
        <f>TRUNC(F307*E307,2)</f>
        <v>2.88</v>
      </c>
    </row>
    <row r="308" spans="1:7" x14ac:dyDescent="0.25">
      <c r="A308" s="545">
        <v>88264</v>
      </c>
      <c r="B308" s="546" t="s">
        <v>792</v>
      </c>
      <c r="C308" s="499" t="s">
        <v>807</v>
      </c>
      <c r="D308" s="542" t="s">
        <v>799</v>
      </c>
      <c r="E308" s="495">
        <v>0.15</v>
      </c>
      <c r="F308" s="543">
        <v>23.24</v>
      </c>
      <c r="G308" s="514">
        <f>TRUNC(F308*E308,2)</f>
        <v>3.48</v>
      </c>
    </row>
    <row r="309" spans="1:7" x14ac:dyDescent="0.25">
      <c r="A309" s="788" t="s">
        <v>21</v>
      </c>
      <c r="B309" s="789"/>
      <c r="C309" s="789"/>
      <c r="D309" s="789"/>
      <c r="E309" s="789"/>
      <c r="F309" s="789"/>
      <c r="G309" s="511">
        <f>SUM(G307:G308)</f>
        <v>6.3599999999999994</v>
      </c>
    </row>
    <row r="310" spans="1:7" x14ac:dyDescent="0.25">
      <c r="A310" s="780"/>
      <c r="B310" s="781"/>
      <c r="C310" s="781"/>
      <c r="D310" s="781"/>
      <c r="E310" s="781"/>
      <c r="F310" s="781"/>
      <c r="G310" s="782"/>
    </row>
    <row r="311" spans="1:7" s="381" customFormat="1" x14ac:dyDescent="0.25">
      <c r="A311" s="507" t="s">
        <v>785</v>
      </c>
      <c r="B311" s="485" t="s">
        <v>786</v>
      </c>
      <c r="C311" s="489" t="s">
        <v>801</v>
      </c>
      <c r="D311" s="490" t="s">
        <v>788</v>
      </c>
      <c r="E311" s="496" t="s">
        <v>789</v>
      </c>
      <c r="F311" s="492" t="s">
        <v>790</v>
      </c>
      <c r="G311" s="509" t="s">
        <v>791</v>
      </c>
    </row>
    <row r="312" spans="1:7" s="381" customFormat="1" x14ac:dyDescent="0.25">
      <c r="A312" s="515" t="s">
        <v>815</v>
      </c>
      <c r="B312" s="546" t="s">
        <v>808</v>
      </c>
      <c r="C312" s="501" t="str">
        <f>B315</f>
        <v>ELO FUSIVEL 3H</v>
      </c>
      <c r="D312" s="539" t="s">
        <v>62</v>
      </c>
      <c r="E312" s="498">
        <v>1</v>
      </c>
      <c r="F312" s="540">
        <f>D320</f>
        <v>3.47</v>
      </c>
      <c r="G312" s="514">
        <f>TRUNC(F312*E312,2)</f>
        <v>3.47</v>
      </c>
    </row>
    <row r="313" spans="1:7" s="381" customFormat="1" x14ac:dyDescent="0.25">
      <c r="A313" s="788" t="s">
        <v>21</v>
      </c>
      <c r="B313" s="789"/>
      <c r="C313" s="789"/>
      <c r="D313" s="789"/>
      <c r="E313" s="789"/>
      <c r="F313" s="789"/>
      <c r="G313" s="511">
        <f>SUM(G312:G312)</f>
        <v>3.47</v>
      </c>
    </row>
    <row r="314" spans="1:7" x14ac:dyDescent="0.25">
      <c r="A314" s="797" t="s">
        <v>796</v>
      </c>
      <c r="B314" s="786"/>
      <c r="C314" s="786"/>
      <c r="D314" s="786"/>
      <c r="E314" s="786"/>
      <c r="F314" s="786"/>
      <c r="G314" s="512">
        <f>G309+G313</f>
        <v>9.83</v>
      </c>
    </row>
    <row r="315" spans="1:7" ht="15" customHeight="1" x14ac:dyDescent="0.25">
      <c r="A315" s="544" t="s">
        <v>809</v>
      </c>
      <c r="B315" s="802" t="s">
        <v>1252</v>
      </c>
      <c r="C315" s="802"/>
      <c r="D315" s="802"/>
      <c r="E315" s="802"/>
      <c r="F315" s="802"/>
      <c r="G315" s="809"/>
    </row>
    <row r="316" spans="1:7" s="381" customFormat="1" x14ac:dyDescent="0.25">
      <c r="A316" s="545"/>
      <c r="B316" s="728" t="s">
        <v>1247</v>
      </c>
      <c r="C316" s="728"/>
      <c r="D316" s="784" t="s">
        <v>810</v>
      </c>
      <c r="E316" s="784"/>
      <c r="F316" s="541" t="s">
        <v>811</v>
      </c>
      <c r="G316" s="516" t="s">
        <v>1183</v>
      </c>
    </row>
    <row r="317" spans="1:7" x14ac:dyDescent="0.25">
      <c r="A317" s="517">
        <v>44740</v>
      </c>
      <c r="B317" s="775" t="s">
        <v>1358</v>
      </c>
      <c r="C317" s="775"/>
      <c r="D317" s="776">
        <v>3.84</v>
      </c>
      <c r="E317" s="776"/>
      <c r="F317" s="542" t="s">
        <v>1212</v>
      </c>
      <c r="G317" s="518" t="s">
        <v>1359</v>
      </c>
    </row>
    <row r="318" spans="1:7" s="381" customFormat="1" x14ac:dyDescent="0.25">
      <c r="A318" s="519">
        <v>44741</v>
      </c>
      <c r="B318" s="785" t="s">
        <v>1362</v>
      </c>
      <c r="C318" s="785"/>
      <c r="D318" s="783">
        <v>3.47</v>
      </c>
      <c r="E318" s="783"/>
      <c r="F318" s="539" t="s">
        <v>1182</v>
      </c>
      <c r="G318" s="520" t="s">
        <v>1363</v>
      </c>
    </row>
    <row r="319" spans="1:7" s="381" customFormat="1" x14ac:dyDescent="0.25">
      <c r="A319" s="519">
        <v>44741</v>
      </c>
      <c r="B319" s="785" t="s">
        <v>1248</v>
      </c>
      <c r="C319" s="785"/>
      <c r="D319" s="783">
        <v>2.91</v>
      </c>
      <c r="E319" s="783"/>
      <c r="F319" s="539" t="s">
        <v>1360</v>
      </c>
      <c r="G319" s="520" t="s">
        <v>1361</v>
      </c>
    </row>
    <row r="320" spans="1:7" s="381" customFormat="1" ht="15" customHeight="1" x14ac:dyDescent="0.25">
      <c r="A320" s="545"/>
      <c r="B320" s="777" t="s">
        <v>812</v>
      </c>
      <c r="C320" s="777"/>
      <c r="D320" s="800">
        <f>MEDIAN(D317:E319)</f>
        <v>3.47</v>
      </c>
      <c r="E320" s="800"/>
      <c r="F320" s="800"/>
      <c r="G320" s="801"/>
    </row>
    <row r="321" spans="1:7" ht="15.75" customHeight="1" x14ac:dyDescent="0.25">
      <c r="A321" s="806"/>
      <c r="B321" s="807"/>
      <c r="C321" s="807"/>
      <c r="D321" s="807"/>
      <c r="E321" s="807"/>
      <c r="F321" s="807"/>
      <c r="G321" s="808"/>
    </row>
    <row r="322" spans="1:7" x14ac:dyDescent="0.25">
      <c r="A322" s="772" t="s">
        <v>1272</v>
      </c>
      <c r="B322" s="773"/>
      <c r="C322" s="773"/>
      <c r="D322" s="773"/>
      <c r="E322" s="773"/>
      <c r="F322" s="773"/>
      <c r="G322" s="774"/>
    </row>
    <row r="323" spans="1:7" s="381" customFormat="1" x14ac:dyDescent="0.25">
      <c r="A323" s="772"/>
      <c r="B323" s="773"/>
      <c r="C323" s="773"/>
      <c r="D323" s="773"/>
      <c r="E323" s="773"/>
      <c r="F323" s="773"/>
      <c r="G323" s="774"/>
    </row>
    <row r="324" spans="1:7" s="381" customFormat="1" x14ac:dyDescent="0.25">
      <c r="A324" s="841"/>
      <c r="B324" s="775"/>
      <c r="C324" s="775"/>
      <c r="D324" s="775"/>
      <c r="E324" s="775"/>
      <c r="F324" s="775"/>
      <c r="G324" s="842"/>
    </row>
    <row r="325" spans="1:7" s="381" customFormat="1" x14ac:dyDescent="0.25">
      <c r="A325" s="790" t="s">
        <v>1443</v>
      </c>
      <c r="B325" s="791"/>
      <c r="C325" s="792" t="str">
        <f>B336</f>
        <v>PROTETOR ISOLANTE PARA BUCHA/PARA RAIO -  PVC</v>
      </c>
      <c r="D325" s="792"/>
      <c r="E325" s="792"/>
      <c r="F325" s="792"/>
      <c r="G325" s="793"/>
    </row>
    <row r="326" spans="1:7" s="381" customFormat="1" x14ac:dyDescent="0.25">
      <c r="A326" s="780"/>
      <c r="B326" s="781"/>
      <c r="C326" s="781"/>
      <c r="D326" s="781"/>
      <c r="E326" s="781"/>
      <c r="F326" s="781"/>
      <c r="G326" s="782"/>
    </row>
    <row r="327" spans="1:7" s="381" customFormat="1" x14ac:dyDescent="0.25">
      <c r="A327" s="507" t="s">
        <v>785</v>
      </c>
      <c r="B327" s="485" t="s">
        <v>786</v>
      </c>
      <c r="C327" s="489" t="s">
        <v>787</v>
      </c>
      <c r="D327" s="490" t="s">
        <v>788</v>
      </c>
      <c r="E327" s="491" t="s">
        <v>789</v>
      </c>
      <c r="F327" s="492" t="s">
        <v>790</v>
      </c>
      <c r="G327" s="509" t="s">
        <v>791</v>
      </c>
    </row>
    <row r="328" spans="1:7" x14ac:dyDescent="0.25">
      <c r="A328" s="545">
        <v>88247</v>
      </c>
      <c r="B328" s="546" t="s">
        <v>792</v>
      </c>
      <c r="C328" s="499" t="s">
        <v>806</v>
      </c>
      <c r="D328" s="542" t="s">
        <v>799</v>
      </c>
      <c r="E328" s="495">
        <v>1.4999999999999999E-2</v>
      </c>
      <c r="F328" s="543">
        <v>19.2</v>
      </c>
      <c r="G328" s="514">
        <f>TRUNC(F328*E328,2)</f>
        <v>0.28000000000000003</v>
      </c>
    </row>
    <row r="329" spans="1:7" x14ac:dyDescent="0.25">
      <c r="A329" s="545">
        <v>88264</v>
      </c>
      <c r="B329" s="546" t="s">
        <v>792</v>
      </c>
      <c r="C329" s="499" t="s">
        <v>807</v>
      </c>
      <c r="D329" s="542" t="s">
        <v>799</v>
      </c>
      <c r="E329" s="495">
        <v>1.4999999999999999E-2</v>
      </c>
      <c r="F329" s="543">
        <v>23.24</v>
      </c>
      <c r="G329" s="514">
        <f>TRUNC(F329*E329,2)</f>
        <v>0.34</v>
      </c>
    </row>
    <row r="330" spans="1:7" x14ac:dyDescent="0.25">
      <c r="A330" s="788" t="s">
        <v>21</v>
      </c>
      <c r="B330" s="789"/>
      <c r="C330" s="789"/>
      <c r="D330" s="789"/>
      <c r="E330" s="789"/>
      <c r="F330" s="789"/>
      <c r="G330" s="511">
        <f>SUM(G328:G329)</f>
        <v>0.62000000000000011</v>
      </c>
    </row>
    <row r="331" spans="1:7" x14ac:dyDescent="0.25">
      <c r="A331" s="780"/>
      <c r="B331" s="781"/>
      <c r="C331" s="781"/>
      <c r="D331" s="781"/>
      <c r="E331" s="781"/>
      <c r="F331" s="781"/>
      <c r="G331" s="782"/>
    </row>
    <row r="332" spans="1:7" x14ac:dyDescent="0.25">
      <c r="A332" s="507" t="s">
        <v>785</v>
      </c>
      <c r="B332" s="485" t="s">
        <v>786</v>
      </c>
      <c r="C332" s="489" t="s">
        <v>801</v>
      </c>
      <c r="D332" s="490" t="s">
        <v>788</v>
      </c>
      <c r="E332" s="496" t="s">
        <v>789</v>
      </c>
      <c r="F332" s="492" t="s">
        <v>790</v>
      </c>
      <c r="G332" s="509" t="s">
        <v>791</v>
      </c>
    </row>
    <row r="333" spans="1:7" s="381" customFormat="1" x14ac:dyDescent="0.25">
      <c r="A333" s="515" t="s">
        <v>815</v>
      </c>
      <c r="B333" s="546" t="s">
        <v>808</v>
      </c>
      <c r="C333" s="501" t="str">
        <f>B336</f>
        <v>PROTETOR ISOLANTE PARA BUCHA/PARA RAIO -  PVC</v>
      </c>
      <c r="D333" s="539" t="s">
        <v>62</v>
      </c>
      <c r="E333" s="498">
        <v>1</v>
      </c>
      <c r="F333" s="540">
        <f>D341</f>
        <v>12.6</v>
      </c>
      <c r="G333" s="514">
        <f>TRUNC(F333*E333,2)</f>
        <v>12.6</v>
      </c>
    </row>
    <row r="334" spans="1:7" s="381" customFormat="1" x14ac:dyDescent="0.25">
      <c r="A334" s="788" t="s">
        <v>21</v>
      </c>
      <c r="B334" s="789"/>
      <c r="C334" s="789"/>
      <c r="D334" s="789"/>
      <c r="E334" s="789"/>
      <c r="F334" s="789"/>
      <c r="G334" s="511">
        <f>SUM(G333:G333)</f>
        <v>12.6</v>
      </c>
    </row>
    <row r="335" spans="1:7" s="381" customFormat="1" x14ac:dyDescent="0.25">
      <c r="A335" s="797" t="s">
        <v>796</v>
      </c>
      <c r="B335" s="786"/>
      <c r="C335" s="786"/>
      <c r="D335" s="786"/>
      <c r="E335" s="786"/>
      <c r="F335" s="786"/>
      <c r="G335" s="512">
        <f>G330+G334</f>
        <v>13.219999999999999</v>
      </c>
    </row>
    <row r="336" spans="1:7" ht="15" customHeight="1" x14ac:dyDescent="0.25">
      <c r="A336" s="544" t="s">
        <v>809</v>
      </c>
      <c r="B336" s="802" t="s">
        <v>1184</v>
      </c>
      <c r="C336" s="802"/>
      <c r="D336" s="802"/>
      <c r="E336" s="802"/>
      <c r="F336" s="802"/>
      <c r="G336" s="809"/>
    </row>
    <row r="337" spans="1:7" x14ac:dyDescent="0.25">
      <c r="A337" s="545"/>
      <c r="B337" s="728" t="s">
        <v>1247</v>
      </c>
      <c r="C337" s="728"/>
      <c r="D337" s="784" t="s">
        <v>810</v>
      </c>
      <c r="E337" s="784"/>
      <c r="F337" s="541" t="s">
        <v>811</v>
      </c>
      <c r="G337" s="516" t="s">
        <v>1183</v>
      </c>
    </row>
    <row r="338" spans="1:7" s="381" customFormat="1" x14ac:dyDescent="0.25">
      <c r="A338" s="517">
        <v>44740</v>
      </c>
      <c r="B338" s="775" t="s">
        <v>1358</v>
      </c>
      <c r="C338" s="775"/>
      <c r="D338" s="776">
        <v>10.18</v>
      </c>
      <c r="E338" s="776"/>
      <c r="F338" s="542" t="s">
        <v>1212</v>
      </c>
      <c r="G338" s="518" t="s">
        <v>1359</v>
      </c>
    </row>
    <row r="339" spans="1:7" x14ac:dyDescent="0.25">
      <c r="A339" s="519">
        <v>44741</v>
      </c>
      <c r="B339" s="785" t="s">
        <v>1362</v>
      </c>
      <c r="C339" s="785"/>
      <c r="D339" s="783">
        <v>17.55</v>
      </c>
      <c r="E339" s="783"/>
      <c r="F339" s="539" t="s">
        <v>1182</v>
      </c>
      <c r="G339" s="520" t="s">
        <v>1363</v>
      </c>
    </row>
    <row r="340" spans="1:7" ht="15" customHeight="1" x14ac:dyDescent="0.25">
      <c r="A340" s="519">
        <v>44741</v>
      </c>
      <c r="B340" s="785" t="s">
        <v>1248</v>
      </c>
      <c r="C340" s="785"/>
      <c r="D340" s="783">
        <v>12.6</v>
      </c>
      <c r="E340" s="783"/>
      <c r="F340" s="539" t="s">
        <v>1360</v>
      </c>
      <c r="G340" s="520" t="s">
        <v>1361</v>
      </c>
    </row>
    <row r="341" spans="1:7" x14ac:dyDescent="0.25">
      <c r="A341" s="787" t="s">
        <v>812</v>
      </c>
      <c r="B341" s="777"/>
      <c r="C341" s="777"/>
      <c r="D341" s="800">
        <f>MEDIAN(D338:E340)</f>
        <v>12.6</v>
      </c>
      <c r="E341" s="800"/>
      <c r="F341" s="800"/>
      <c r="G341" s="801"/>
    </row>
    <row r="342" spans="1:7" s="381" customFormat="1" x14ac:dyDescent="0.25">
      <c r="A342" s="806"/>
      <c r="B342" s="807"/>
      <c r="C342" s="807"/>
      <c r="D342" s="807"/>
      <c r="E342" s="807"/>
      <c r="F342" s="807"/>
      <c r="G342" s="808"/>
    </row>
    <row r="343" spans="1:7" s="381" customFormat="1" x14ac:dyDescent="0.25">
      <c r="A343" s="772" t="s">
        <v>1243</v>
      </c>
      <c r="B343" s="773"/>
      <c r="C343" s="773"/>
      <c r="D343" s="773"/>
      <c r="E343" s="773"/>
      <c r="F343" s="773"/>
      <c r="G343" s="774"/>
    </row>
    <row r="344" spans="1:7" x14ac:dyDescent="0.25">
      <c r="A344" s="772"/>
      <c r="B344" s="773"/>
      <c r="C344" s="773"/>
      <c r="D344" s="773"/>
      <c r="E344" s="773"/>
      <c r="F344" s="773"/>
      <c r="G344" s="774"/>
    </row>
    <row r="345" spans="1:7" s="381" customFormat="1" x14ac:dyDescent="0.25">
      <c r="A345" s="841"/>
      <c r="B345" s="775"/>
      <c r="C345" s="775"/>
      <c r="D345" s="775"/>
      <c r="E345" s="775"/>
      <c r="F345" s="775"/>
      <c r="G345" s="842"/>
    </row>
    <row r="346" spans="1:7" s="381" customFormat="1" x14ac:dyDescent="0.25">
      <c r="A346" s="790" t="s">
        <v>1444</v>
      </c>
      <c r="B346" s="791"/>
      <c r="C346" s="792" t="str">
        <f>B357</f>
        <v>CONECTOR CUNHA ESTRIBO COM CAPA - 50 MM</v>
      </c>
      <c r="D346" s="792"/>
      <c r="E346" s="792"/>
      <c r="F346" s="792"/>
      <c r="G346" s="793"/>
    </row>
    <row r="347" spans="1:7" s="381" customFormat="1" x14ac:dyDescent="0.25">
      <c r="A347" s="780"/>
      <c r="B347" s="781"/>
      <c r="C347" s="781"/>
      <c r="D347" s="781"/>
      <c r="E347" s="781"/>
      <c r="F347" s="781"/>
      <c r="G347" s="782"/>
    </row>
    <row r="348" spans="1:7" s="381" customFormat="1" x14ac:dyDescent="0.25">
      <c r="A348" s="507" t="s">
        <v>785</v>
      </c>
      <c r="B348" s="485" t="s">
        <v>786</v>
      </c>
      <c r="C348" s="489" t="s">
        <v>787</v>
      </c>
      <c r="D348" s="490" t="s">
        <v>788</v>
      </c>
      <c r="E348" s="491" t="s">
        <v>789</v>
      </c>
      <c r="F348" s="492" t="s">
        <v>790</v>
      </c>
      <c r="G348" s="509" t="s">
        <v>791</v>
      </c>
    </row>
    <row r="349" spans="1:7" x14ac:dyDescent="0.25">
      <c r="A349" s="545">
        <v>88247</v>
      </c>
      <c r="B349" s="546" t="s">
        <v>792</v>
      </c>
      <c r="C349" s="499" t="s">
        <v>806</v>
      </c>
      <c r="D349" s="542" t="s">
        <v>799</v>
      </c>
      <c r="E349" s="495">
        <v>0.2</v>
      </c>
      <c r="F349" s="543">
        <v>19.2</v>
      </c>
      <c r="G349" s="514">
        <f>TRUNC(F349*E349,2)</f>
        <v>3.84</v>
      </c>
    </row>
    <row r="350" spans="1:7" x14ac:dyDescent="0.25">
      <c r="A350" s="545">
        <v>88264</v>
      </c>
      <c r="B350" s="546" t="s">
        <v>792</v>
      </c>
      <c r="C350" s="499" t="s">
        <v>807</v>
      </c>
      <c r="D350" s="542" t="s">
        <v>799</v>
      </c>
      <c r="E350" s="495">
        <v>0.2</v>
      </c>
      <c r="F350" s="543">
        <v>23.24</v>
      </c>
      <c r="G350" s="514">
        <f>TRUNC(F350*E350,2)</f>
        <v>4.6399999999999997</v>
      </c>
    </row>
    <row r="351" spans="1:7" x14ac:dyDescent="0.25">
      <c r="A351" s="788" t="s">
        <v>21</v>
      </c>
      <c r="B351" s="789"/>
      <c r="C351" s="789"/>
      <c r="D351" s="789"/>
      <c r="E351" s="789"/>
      <c r="F351" s="789"/>
      <c r="G351" s="511">
        <f>SUM(G349:G350)</f>
        <v>8.48</v>
      </c>
    </row>
    <row r="352" spans="1:7" x14ac:dyDescent="0.25">
      <c r="A352" s="780"/>
      <c r="B352" s="781"/>
      <c r="C352" s="781"/>
      <c r="D352" s="781"/>
      <c r="E352" s="781"/>
      <c r="F352" s="781"/>
      <c r="G352" s="782"/>
    </row>
    <row r="353" spans="1:7" x14ac:dyDescent="0.25">
      <c r="A353" s="507" t="s">
        <v>785</v>
      </c>
      <c r="B353" s="485" t="s">
        <v>786</v>
      </c>
      <c r="C353" s="489" t="s">
        <v>801</v>
      </c>
      <c r="D353" s="490" t="s">
        <v>788</v>
      </c>
      <c r="E353" s="496" t="s">
        <v>789</v>
      </c>
      <c r="F353" s="492" t="s">
        <v>790</v>
      </c>
      <c r="G353" s="509" t="s">
        <v>791</v>
      </c>
    </row>
    <row r="354" spans="1:7" x14ac:dyDescent="0.25">
      <c r="A354" s="515" t="s">
        <v>815</v>
      </c>
      <c r="B354" s="546" t="s">
        <v>808</v>
      </c>
      <c r="C354" s="501" t="str">
        <f>B357</f>
        <v>CONECTOR CUNHA ESTRIBO COM CAPA - 50 MM</v>
      </c>
      <c r="D354" s="539" t="s">
        <v>62</v>
      </c>
      <c r="E354" s="498">
        <v>1</v>
      </c>
      <c r="F354" s="540">
        <f>D362</f>
        <v>46.4</v>
      </c>
      <c r="G354" s="514">
        <f>TRUNC(F354*E354,2)</f>
        <v>46.4</v>
      </c>
    </row>
    <row r="355" spans="1:7" s="381" customFormat="1" x14ac:dyDescent="0.25">
      <c r="A355" s="788" t="s">
        <v>21</v>
      </c>
      <c r="B355" s="789"/>
      <c r="C355" s="789"/>
      <c r="D355" s="789"/>
      <c r="E355" s="789"/>
      <c r="F355" s="789"/>
      <c r="G355" s="511">
        <f>SUM(G354:G354)</f>
        <v>46.4</v>
      </c>
    </row>
    <row r="356" spans="1:7" s="381" customFormat="1" x14ac:dyDescent="0.25">
      <c r="A356" s="797" t="s">
        <v>796</v>
      </c>
      <c r="B356" s="786"/>
      <c r="C356" s="786"/>
      <c r="D356" s="786"/>
      <c r="E356" s="786"/>
      <c r="F356" s="786"/>
      <c r="G356" s="512">
        <f>G351+G355</f>
        <v>54.879999999999995</v>
      </c>
    </row>
    <row r="357" spans="1:7" s="381" customFormat="1" ht="15" customHeight="1" x14ac:dyDescent="0.25">
      <c r="A357" s="544" t="s">
        <v>809</v>
      </c>
      <c r="B357" s="802" t="s">
        <v>1185</v>
      </c>
      <c r="C357" s="802"/>
      <c r="D357" s="802"/>
      <c r="E357" s="802"/>
      <c r="F357" s="802"/>
      <c r="G357" s="809"/>
    </row>
    <row r="358" spans="1:7" x14ac:dyDescent="0.25">
      <c r="A358" s="545"/>
      <c r="B358" s="728" t="s">
        <v>1247</v>
      </c>
      <c r="C358" s="728"/>
      <c r="D358" s="784" t="s">
        <v>810</v>
      </c>
      <c r="E358" s="784"/>
      <c r="F358" s="541" t="s">
        <v>811</v>
      </c>
      <c r="G358" s="516" t="s">
        <v>1183</v>
      </c>
    </row>
    <row r="359" spans="1:7" ht="15" customHeight="1" x14ac:dyDescent="0.25">
      <c r="A359" s="517">
        <v>44740</v>
      </c>
      <c r="B359" s="775" t="s">
        <v>1358</v>
      </c>
      <c r="C359" s="775"/>
      <c r="D359" s="776">
        <v>19.87</v>
      </c>
      <c r="E359" s="776"/>
      <c r="F359" s="542" t="s">
        <v>1212</v>
      </c>
      <c r="G359" s="518" t="s">
        <v>1359</v>
      </c>
    </row>
    <row r="360" spans="1:7" s="381" customFormat="1" ht="15" customHeight="1" x14ac:dyDescent="0.25">
      <c r="A360" s="519">
        <v>44741</v>
      </c>
      <c r="B360" s="785" t="s">
        <v>1362</v>
      </c>
      <c r="C360" s="785"/>
      <c r="D360" s="783">
        <v>55.88</v>
      </c>
      <c r="E360" s="783"/>
      <c r="F360" s="539" t="s">
        <v>1182</v>
      </c>
      <c r="G360" s="520" t="s">
        <v>1363</v>
      </c>
    </row>
    <row r="361" spans="1:7" s="381" customFormat="1" ht="15" customHeight="1" x14ac:dyDescent="0.25">
      <c r="A361" s="519">
        <v>44741</v>
      </c>
      <c r="B361" s="785" t="s">
        <v>1248</v>
      </c>
      <c r="C361" s="785"/>
      <c r="D361" s="783">
        <v>46.4</v>
      </c>
      <c r="E361" s="783"/>
      <c r="F361" s="539" t="s">
        <v>1360</v>
      </c>
      <c r="G361" s="520" t="s">
        <v>1361</v>
      </c>
    </row>
    <row r="362" spans="1:7" x14ac:dyDescent="0.25">
      <c r="A362" s="787" t="s">
        <v>812</v>
      </c>
      <c r="B362" s="777"/>
      <c r="C362" s="777"/>
      <c r="D362" s="800">
        <f>MEDIAN(D359:E361)</f>
        <v>46.4</v>
      </c>
      <c r="E362" s="800"/>
      <c r="F362" s="800"/>
      <c r="G362" s="801"/>
    </row>
    <row r="363" spans="1:7" x14ac:dyDescent="0.25">
      <c r="A363" s="810"/>
      <c r="B363" s="811"/>
      <c r="C363" s="811"/>
      <c r="D363" s="811"/>
      <c r="E363" s="811"/>
      <c r="F363" s="811"/>
      <c r="G363" s="812"/>
    </row>
    <row r="364" spans="1:7" x14ac:dyDescent="0.25">
      <c r="A364" s="772" t="s">
        <v>1229</v>
      </c>
      <c r="B364" s="773"/>
      <c r="C364" s="773"/>
      <c r="D364" s="773"/>
      <c r="E364" s="773"/>
      <c r="F364" s="773"/>
      <c r="G364" s="774"/>
    </row>
    <row r="365" spans="1:7" s="381" customFormat="1" x14ac:dyDescent="0.25">
      <c r="A365" s="772"/>
      <c r="B365" s="773"/>
      <c r="C365" s="773"/>
      <c r="D365" s="773"/>
      <c r="E365" s="773"/>
      <c r="F365" s="773"/>
      <c r="G365" s="774"/>
    </row>
    <row r="366" spans="1:7" x14ac:dyDescent="0.25">
      <c r="A366" s="810"/>
      <c r="B366" s="811"/>
      <c r="C366" s="811"/>
      <c r="D366" s="811"/>
      <c r="E366" s="811"/>
      <c r="F366" s="811"/>
      <c r="G366" s="812"/>
    </row>
    <row r="367" spans="1:7" s="381" customFormat="1" x14ac:dyDescent="0.25">
      <c r="A367" s="790" t="s">
        <v>1445</v>
      </c>
      <c r="B367" s="791"/>
      <c r="C367" s="792" t="str">
        <f>B378</f>
        <v xml:space="preserve">PERFIL U </v>
      </c>
      <c r="D367" s="792"/>
      <c r="E367" s="792"/>
      <c r="F367" s="792"/>
      <c r="G367" s="793"/>
    </row>
    <row r="368" spans="1:7" s="381" customFormat="1" x14ac:dyDescent="0.25">
      <c r="A368" s="780"/>
      <c r="B368" s="781"/>
      <c r="C368" s="781"/>
      <c r="D368" s="781"/>
      <c r="E368" s="781"/>
      <c r="F368" s="781"/>
      <c r="G368" s="782"/>
    </row>
    <row r="369" spans="1:7" x14ac:dyDescent="0.25">
      <c r="A369" s="507" t="s">
        <v>785</v>
      </c>
      <c r="B369" s="485" t="s">
        <v>786</v>
      </c>
      <c r="C369" s="489" t="s">
        <v>787</v>
      </c>
      <c r="D369" s="490" t="s">
        <v>788</v>
      </c>
      <c r="E369" s="491" t="s">
        <v>789</v>
      </c>
      <c r="F369" s="492" t="s">
        <v>790</v>
      </c>
      <c r="G369" s="509" t="s">
        <v>791</v>
      </c>
    </row>
    <row r="370" spans="1:7" x14ac:dyDescent="0.25">
      <c r="A370" s="545">
        <v>88247</v>
      </c>
      <c r="B370" s="546" t="s">
        <v>792</v>
      </c>
      <c r="C370" s="499" t="s">
        <v>806</v>
      </c>
      <c r="D370" s="542" t="s">
        <v>799</v>
      </c>
      <c r="E370" s="495">
        <v>0.13800000000000001</v>
      </c>
      <c r="F370" s="543">
        <v>19.2</v>
      </c>
      <c r="G370" s="514">
        <f>TRUNC(F370*E370,2)</f>
        <v>2.64</v>
      </c>
    </row>
    <row r="371" spans="1:7" s="381" customFormat="1" x14ac:dyDescent="0.25">
      <c r="A371" s="545">
        <v>88264</v>
      </c>
      <c r="B371" s="546" t="s">
        <v>792</v>
      </c>
      <c r="C371" s="499" t="s">
        <v>807</v>
      </c>
      <c r="D371" s="542" t="s">
        <v>799</v>
      </c>
      <c r="E371" s="495">
        <v>0.13800000000000001</v>
      </c>
      <c r="F371" s="543">
        <v>23.24</v>
      </c>
      <c r="G371" s="514">
        <f>TRUNC(F371*E371,2)</f>
        <v>3.2</v>
      </c>
    </row>
    <row r="372" spans="1:7" s="381" customFormat="1" x14ac:dyDescent="0.25">
      <c r="A372" s="788" t="s">
        <v>21</v>
      </c>
      <c r="B372" s="789"/>
      <c r="C372" s="789"/>
      <c r="D372" s="789"/>
      <c r="E372" s="789"/>
      <c r="F372" s="789"/>
      <c r="G372" s="511">
        <f>SUM(G370:G371)</f>
        <v>5.84</v>
      </c>
    </row>
    <row r="373" spans="1:7" s="381" customFormat="1" x14ac:dyDescent="0.25">
      <c r="A373" s="780"/>
      <c r="B373" s="781"/>
      <c r="C373" s="781"/>
      <c r="D373" s="781"/>
      <c r="E373" s="781"/>
      <c r="F373" s="781"/>
      <c r="G373" s="782"/>
    </row>
    <row r="374" spans="1:7" x14ac:dyDescent="0.25">
      <c r="A374" s="507" t="s">
        <v>785</v>
      </c>
      <c r="B374" s="485" t="s">
        <v>786</v>
      </c>
      <c r="C374" s="489" t="s">
        <v>801</v>
      </c>
      <c r="D374" s="490" t="s">
        <v>788</v>
      </c>
      <c r="E374" s="496" t="s">
        <v>789</v>
      </c>
      <c r="F374" s="492" t="s">
        <v>790</v>
      </c>
      <c r="G374" s="509" t="s">
        <v>791</v>
      </c>
    </row>
    <row r="375" spans="1:7" x14ac:dyDescent="0.25">
      <c r="A375" s="515" t="s">
        <v>815</v>
      </c>
      <c r="B375" s="546" t="s">
        <v>808</v>
      </c>
      <c r="C375" s="501" t="str">
        <f>B378</f>
        <v xml:space="preserve">PERFIL U </v>
      </c>
      <c r="D375" s="539" t="s">
        <v>62</v>
      </c>
      <c r="E375" s="498">
        <v>1</v>
      </c>
      <c r="F375" s="540">
        <f>D383</f>
        <v>218.31</v>
      </c>
      <c r="G375" s="514">
        <f>TRUNC(F375*E375,2)</f>
        <v>218.31</v>
      </c>
    </row>
    <row r="376" spans="1:7" s="381" customFormat="1" x14ac:dyDescent="0.25">
      <c r="A376" s="788" t="s">
        <v>21</v>
      </c>
      <c r="B376" s="789"/>
      <c r="C376" s="789"/>
      <c r="D376" s="789"/>
      <c r="E376" s="789"/>
      <c r="F376" s="789"/>
      <c r="G376" s="511">
        <f>SUM(G375:G375)</f>
        <v>218.31</v>
      </c>
    </row>
    <row r="377" spans="1:7" x14ac:dyDescent="0.25">
      <c r="A377" s="797" t="s">
        <v>796</v>
      </c>
      <c r="B377" s="786"/>
      <c r="C377" s="786"/>
      <c r="D377" s="786"/>
      <c r="E377" s="786"/>
      <c r="F377" s="786"/>
      <c r="G377" s="512">
        <f>G372+G376</f>
        <v>224.15</v>
      </c>
    </row>
    <row r="378" spans="1:7" s="381" customFormat="1" x14ac:dyDescent="0.25">
      <c r="A378" s="544" t="s">
        <v>809</v>
      </c>
      <c r="B378" s="802" t="s">
        <v>1393</v>
      </c>
      <c r="C378" s="802"/>
      <c r="D378" s="784"/>
      <c r="E378" s="784"/>
      <c r="F378" s="502"/>
      <c r="G378" s="516"/>
    </row>
    <row r="379" spans="1:7" x14ac:dyDescent="0.25">
      <c r="A379" s="545"/>
      <c r="B379" s="728" t="s">
        <v>1247</v>
      </c>
      <c r="C379" s="728"/>
      <c r="D379" s="784" t="s">
        <v>810</v>
      </c>
      <c r="E379" s="784"/>
      <c r="F379" s="541" t="s">
        <v>811</v>
      </c>
      <c r="G379" s="516" t="s">
        <v>1183</v>
      </c>
    </row>
    <row r="380" spans="1:7" s="381" customFormat="1" ht="15" customHeight="1" x14ac:dyDescent="0.25">
      <c r="A380" s="517">
        <v>44740</v>
      </c>
      <c r="B380" s="775" t="s">
        <v>1358</v>
      </c>
      <c r="C380" s="775"/>
      <c r="D380" s="776">
        <v>172.81</v>
      </c>
      <c r="E380" s="776"/>
      <c r="F380" s="542" t="s">
        <v>1212</v>
      </c>
      <c r="G380" s="518" t="s">
        <v>1359</v>
      </c>
    </row>
    <row r="381" spans="1:7" s="381" customFormat="1" ht="15" customHeight="1" x14ac:dyDescent="0.25">
      <c r="A381" s="519">
        <v>44741</v>
      </c>
      <c r="B381" s="785" t="s">
        <v>1362</v>
      </c>
      <c r="C381" s="785"/>
      <c r="D381" s="783">
        <v>218.31</v>
      </c>
      <c r="E381" s="783"/>
      <c r="F381" s="539" t="s">
        <v>1182</v>
      </c>
      <c r="G381" s="520" t="s">
        <v>1363</v>
      </c>
    </row>
    <row r="382" spans="1:7" s="381" customFormat="1" ht="15" customHeight="1" x14ac:dyDescent="0.25">
      <c r="A382" s="519">
        <v>44741</v>
      </c>
      <c r="B382" s="785" t="s">
        <v>1248</v>
      </c>
      <c r="C382" s="785"/>
      <c r="D382" s="783">
        <v>220</v>
      </c>
      <c r="E382" s="783"/>
      <c r="F382" s="539" t="s">
        <v>1360</v>
      </c>
      <c r="G382" s="520" t="s">
        <v>1361</v>
      </c>
    </row>
    <row r="383" spans="1:7" s="381" customFormat="1" x14ac:dyDescent="0.25">
      <c r="A383" s="787" t="s">
        <v>812</v>
      </c>
      <c r="B383" s="777"/>
      <c r="C383" s="777"/>
      <c r="D383" s="800">
        <f>MEDIAN(D380:E382)</f>
        <v>218.31</v>
      </c>
      <c r="E383" s="800"/>
      <c r="F383" s="800"/>
      <c r="G383" s="801"/>
    </row>
    <row r="384" spans="1:7" s="381" customFormat="1" x14ac:dyDescent="0.25">
      <c r="A384" s="806"/>
      <c r="B384" s="807"/>
      <c r="C384" s="807"/>
      <c r="D384" s="807"/>
      <c r="E384" s="807"/>
      <c r="F384" s="807"/>
      <c r="G384" s="808"/>
    </row>
    <row r="385" spans="1:7" s="381" customFormat="1" x14ac:dyDescent="0.25">
      <c r="A385" s="772" t="s">
        <v>1231</v>
      </c>
      <c r="B385" s="773"/>
      <c r="C385" s="773"/>
      <c r="D385" s="773"/>
      <c r="E385" s="773"/>
      <c r="F385" s="773"/>
      <c r="G385" s="774"/>
    </row>
    <row r="386" spans="1:7" s="381" customFormat="1" x14ac:dyDescent="0.25">
      <c r="A386" s="772"/>
      <c r="B386" s="773"/>
      <c r="C386" s="773"/>
      <c r="D386" s="773"/>
      <c r="E386" s="773"/>
      <c r="F386" s="773"/>
      <c r="G386" s="774"/>
    </row>
    <row r="387" spans="1:7" s="381" customFormat="1" x14ac:dyDescent="0.25">
      <c r="A387" s="794"/>
      <c r="B387" s="795"/>
      <c r="C387" s="795"/>
      <c r="D387" s="795"/>
      <c r="E387" s="795"/>
      <c r="F387" s="795"/>
      <c r="G387" s="796"/>
    </row>
    <row r="388" spans="1:7" s="381" customFormat="1" x14ac:dyDescent="0.25">
      <c r="A388" s="790" t="s">
        <v>1446</v>
      </c>
      <c r="B388" s="791"/>
      <c r="C388" s="792" t="str">
        <f>B399</f>
        <v>FIXADOR DE PERFIL U - EST. CUF3</v>
      </c>
      <c r="D388" s="792"/>
      <c r="E388" s="792"/>
      <c r="F388" s="792"/>
      <c r="G388" s="793"/>
    </row>
    <row r="389" spans="1:7" s="381" customFormat="1" x14ac:dyDescent="0.25">
      <c r="A389" s="780"/>
      <c r="B389" s="781"/>
      <c r="C389" s="781"/>
      <c r="D389" s="781"/>
      <c r="E389" s="781"/>
      <c r="F389" s="781"/>
      <c r="G389" s="782"/>
    </row>
    <row r="390" spans="1:7" s="381" customFormat="1" x14ac:dyDescent="0.25">
      <c r="A390" s="507" t="s">
        <v>785</v>
      </c>
      <c r="B390" s="485" t="s">
        <v>786</v>
      </c>
      <c r="C390" s="489" t="s">
        <v>787</v>
      </c>
      <c r="D390" s="490" t="s">
        <v>788</v>
      </c>
      <c r="E390" s="491" t="s">
        <v>789</v>
      </c>
      <c r="F390" s="492" t="s">
        <v>790</v>
      </c>
      <c r="G390" s="509" t="s">
        <v>791</v>
      </c>
    </row>
    <row r="391" spans="1:7" x14ac:dyDescent="0.25">
      <c r="A391" s="545">
        <v>88247</v>
      </c>
      <c r="B391" s="546" t="s">
        <v>792</v>
      </c>
      <c r="C391" s="499" t="s">
        <v>806</v>
      </c>
      <c r="D391" s="542" t="s">
        <v>799</v>
      </c>
      <c r="E391" s="495">
        <v>0.13800000000000001</v>
      </c>
      <c r="F391" s="543">
        <v>19.2</v>
      </c>
      <c r="G391" s="514">
        <f>TRUNC(F391*E391,2)</f>
        <v>2.64</v>
      </c>
    </row>
    <row r="392" spans="1:7" x14ac:dyDescent="0.25">
      <c r="A392" s="545">
        <v>88264</v>
      </c>
      <c r="B392" s="546" t="s">
        <v>792</v>
      </c>
      <c r="C392" s="499" t="s">
        <v>807</v>
      </c>
      <c r="D392" s="542" t="s">
        <v>799</v>
      </c>
      <c r="E392" s="495">
        <v>0.13800000000000001</v>
      </c>
      <c r="F392" s="543">
        <v>23.24</v>
      </c>
      <c r="G392" s="514">
        <f>TRUNC(F392*E392,2)</f>
        <v>3.2</v>
      </c>
    </row>
    <row r="393" spans="1:7" s="381" customFormat="1" x14ac:dyDescent="0.25">
      <c r="A393" s="788" t="s">
        <v>21</v>
      </c>
      <c r="B393" s="789"/>
      <c r="C393" s="789"/>
      <c r="D393" s="789"/>
      <c r="E393" s="789"/>
      <c r="F393" s="789"/>
      <c r="G393" s="511">
        <f>SUM(G391:G392)</f>
        <v>5.84</v>
      </c>
    </row>
    <row r="394" spans="1:7" x14ac:dyDescent="0.25">
      <c r="A394" s="507"/>
      <c r="B394" s="485"/>
      <c r="C394" s="494"/>
      <c r="D394" s="538"/>
      <c r="E394" s="488"/>
      <c r="F394" s="487"/>
      <c r="G394" s="511"/>
    </row>
    <row r="395" spans="1:7" s="381" customFormat="1" x14ac:dyDescent="0.25">
      <c r="A395" s="507" t="s">
        <v>785</v>
      </c>
      <c r="B395" s="485" t="s">
        <v>786</v>
      </c>
      <c r="C395" s="489" t="s">
        <v>801</v>
      </c>
      <c r="D395" s="490" t="s">
        <v>788</v>
      </c>
      <c r="E395" s="496" t="s">
        <v>789</v>
      </c>
      <c r="F395" s="492" t="s">
        <v>790</v>
      </c>
      <c r="G395" s="509" t="s">
        <v>791</v>
      </c>
    </row>
    <row r="396" spans="1:7" x14ac:dyDescent="0.25">
      <c r="A396" s="515" t="s">
        <v>815</v>
      </c>
      <c r="B396" s="546" t="s">
        <v>808</v>
      </c>
      <c r="C396" s="501" t="str">
        <f>B399</f>
        <v>FIXADOR DE PERFIL U - EST. CUF3</v>
      </c>
      <c r="D396" s="539" t="s">
        <v>62</v>
      </c>
      <c r="E396" s="498">
        <v>1</v>
      </c>
      <c r="F396" s="540">
        <f>D404</f>
        <v>33.6</v>
      </c>
      <c r="G396" s="514">
        <f>TRUNC(F396*E396,2)</f>
        <v>33.6</v>
      </c>
    </row>
    <row r="397" spans="1:7" s="381" customFormat="1" x14ac:dyDescent="0.25">
      <c r="A397" s="788" t="s">
        <v>21</v>
      </c>
      <c r="B397" s="789"/>
      <c r="C397" s="789"/>
      <c r="D397" s="789"/>
      <c r="E397" s="789"/>
      <c r="F397" s="789"/>
      <c r="G397" s="511">
        <f>SUM(G396:G396)</f>
        <v>33.6</v>
      </c>
    </row>
    <row r="398" spans="1:7" s="381" customFormat="1" x14ac:dyDescent="0.25">
      <c r="A398" s="797" t="s">
        <v>796</v>
      </c>
      <c r="B398" s="786"/>
      <c r="C398" s="786"/>
      <c r="D398" s="786"/>
      <c r="E398" s="786"/>
      <c r="F398" s="786"/>
      <c r="G398" s="512">
        <f>G393+G397</f>
        <v>39.44</v>
      </c>
    </row>
    <row r="399" spans="1:7" s="381" customFormat="1" ht="15" customHeight="1" x14ac:dyDescent="0.25">
      <c r="A399" s="544" t="s">
        <v>809</v>
      </c>
      <c r="B399" s="802" t="s">
        <v>1186</v>
      </c>
      <c r="C399" s="802"/>
      <c r="D399" s="802"/>
      <c r="E399" s="802"/>
      <c r="F399" s="802"/>
      <c r="G399" s="809"/>
    </row>
    <row r="400" spans="1:7" x14ac:dyDescent="0.25">
      <c r="A400" s="545"/>
      <c r="B400" s="728" t="s">
        <v>1247</v>
      </c>
      <c r="C400" s="728"/>
      <c r="D400" s="784" t="s">
        <v>810</v>
      </c>
      <c r="E400" s="784"/>
      <c r="F400" s="541" t="s">
        <v>811</v>
      </c>
      <c r="G400" s="516" t="s">
        <v>1183</v>
      </c>
    </row>
    <row r="401" spans="1:7" s="381" customFormat="1" ht="15" customHeight="1" x14ac:dyDescent="0.25">
      <c r="A401" s="517">
        <v>44740</v>
      </c>
      <c r="B401" s="775" t="s">
        <v>1358</v>
      </c>
      <c r="C401" s="775"/>
      <c r="D401" s="776">
        <v>31.73</v>
      </c>
      <c r="E401" s="776"/>
      <c r="F401" s="542" t="s">
        <v>1212</v>
      </c>
      <c r="G401" s="518" t="s">
        <v>1359</v>
      </c>
    </row>
    <row r="402" spans="1:7" s="381" customFormat="1" ht="15" customHeight="1" x14ac:dyDescent="0.25">
      <c r="A402" s="519">
        <v>44741</v>
      </c>
      <c r="B402" s="785" t="s">
        <v>1362</v>
      </c>
      <c r="C402" s="785"/>
      <c r="D402" s="783">
        <v>33.6</v>
      </c>
      <c r="E402" s="783"/>
      <c r="F402" s="539" t="s">
        <v>1182</v>
      </c>
      <c r="G402" s="520" t="s">
        <v>1363</v>
      </c>
    </row>
    <row r="403" spans="1:7" s="381" customFormat="1" ht="15" customHeight="1" x14ac:dyDescent="0.25">
      <c r="A403" s="519">
        <v>44741</v>
      </c>
      <c r="B403" s="785" t="s">
        <v>1248</v>
      </c>
      <c r="C403" s="785"/>
      <c r="D403" s="783">
        <v>59.66</v>
      </c>
      <c r="E403" s="783"/>
      <c r="F403" s="539" t="s">
        <v>1360</v>
      </c>
      <c r="G403" s="520" t="s">
        <v>1361</v>
      </c>
    </row>
    <row r="404" spans="1:7" s="381" customFormat="1" x14ac:dyDescent="0.25">
      <c r="A404" s="787" t="s">
        <v>812</v>
      </c>
      <c r="B404" s="777"/>
      <c r="C404" s="777"/>
      <c r="D404" s="800">
        <f>MEDIAN(D401:E403)</f>
        <v>33.6</v>
      </c>
      <c r="E404" s="800"/>
      <c r="F404" s="800"/>
      <c r="G404" s="801"/>
    </row>
    <row r="405" spans="1:7" s="381" customFormat="1" x14ac:dyDescent="0.25">
      <c r="A405" s="780"/>
      <c r="B405" s="781"/>
      <c r="C405" s="781"/>
      <c r="D405" s="781"/>
      <c r="E405" s="781"/>
      <c r="F405" s="781"/>
      <c r="G405" s="782"/>
    </row>
    <row r="406" spans="1:7" s="381" customFormat="1" x14ac:dyDescent="0.25">
      <c r="A406" s="772" t="s">
        <v>1242</v>
      </c>
      <c r="B406" s="773"/>
      <c r="C406" s="773"/>
      <c r="D406" s="773"/>
      <c r="E406" s="773"/>
      <c r="F406" s="773"/>
      <c r="G406" s="774"/>
    </row>
    <row r="407" spans="1:7" s="381" customFormat="1" x14ac:dyDescent="0.25">
      <c r="A407" s="772"/>
      <c r="B407" s="773"/>
      <c r="C407" s="773"/>
      <c r="D407" s="773"/>
      <c r="E407" s="773"/>
      <c r="F407" s="773"/>
      <c r="G407" s="774"/>
    </row>
    <row r="408" spans="1:7" x14ac:dyDescent="0.25">
      <c r="A408" s="780"/>
      <c r="B408" s="781"/>
      <c r="C408" s="781"/>
      <c r="D408" s="781"/>
      <c r="E408" s="781"/>
      <c r="F408" s="781"/>
      <c r="G408" s="782"/>
    </row>
    <row r="409" spans="1:7" s="381" customFormat="1" x14ac:dyDescent="0.25">
      <c r="A409" s="790" t="s">
        <v>1447</v>
      </c>
      <c r="B409" s="791"/>
      <c r="C409" s="792" t="str">
        <f>B420</f>
        <v>MANILHA SAPATILHA</v>
      </c>
      <c r="D409" s="792"/>
      <c r="E409" s="792"/>
      <c r="F409" s="792"/>
      <c r="G409" s="793"/>
    </row>
    <row r="410" spans="1:7" s="381" customFormat="1" x14ac:dyDescent="0.25">
      <c r="A410" s="780"/>
      <c r="B410" s="781"/>
      <c r="C410" s="781"/>
      <c r="D410" s="781"/>
      <c r="E410" s="781"/>
      <c r="F410" s="781"/>
      <c r="G410" s="782"/>
    </row>
    <row r="411" spans="1:7" s="381" customFormat="1" x14ac:dyDescent="0.25">
      <c r="A411" s="507" t="s">
        <v>785</v>
      </c>
      <c r="B411" s="485" t="s">
        <v>786</v>
      </c>
      <c r="C411" s="489" t="s">
        <v>787</v>
      </c>
      <c r="D411" s="490" t="s">
        <v>788</v>
      </c>
      <c r="E411" s="491" t="s">
        <v>789</v>
      </c>
      <c r="F411" s="492" t="s">
        <v>790</v>
      </c>
      <c r="G411" s="509" t="s">
        <v>791</v>
      </c>
    </row>
    <row r="412" spans="1:7" s="381" customFormat="1" x14ac:dyDescent="0.25">
      <c r="A412" s="545">
        <v>88247</v>
      </c>
      <c r="B412" s="546" t="s">
        <v>792</v>
      </c>
      <c r="C412" s="499" t="s">
        <v>806</v>
      </c>
      <c r="D412" s="542" t="s">
        <v>799</v>
      </c>
      <c r="E412" s="495">
        <v>0.02</v>
      </c>
      <c r="F412" s="543">
        <v>19.2</v>
      </c>
      <c r="G412" s="514">
        <f>TRUNC(F412*E412,2)</f>
        <v>0.38</v>
      </c>
    </row>
    <row r="413" spans="1:7" s="381" customFormat="1" x14ac:dyDescent="0.25">
      <c r="A413" s="545">
        <v>88264</v>
      </c>
      <c r="B413" s="546" t="s">
        <v>792</v>
      </c>
      <c r="C413" s="499" t="s">
        <v>807</v>
      </c>
      <c r="D413" s="542" t="s">
        <v>799</v>
      </c>
      <c r="E413" s="495">
        <v>0.02</v>
      </c>
      <c r="F413" s="543">
        <v>23.24</v>
      </c>
      <c r="G413" s="514">
        <f>TRUNC(F413*E413,2)</f>
        <v>0.46</v>
      </c>
    </row>
    <row r="414" spans="1:7" s="381" customFormat="1" x14ac:dyDescent="0.25">
      <c r="A414" s="788" t="s">
        <v>21</v>
      </c>
      <c r="B414" s="789"/>
      <c r="C414" s="789"/>
      <c r="D414" s="789"/>
      <c r="E414" s="789"/>
      <c r="F414" s="789"/>
      <c r="G414" s="511">
        <f>SUM(G412:G413)</f>
        <v>0.84000000000000008</v>
      </c>
    </row>
    <row r="415" spans="1:7" x14ac:dyDescent="0.25">
      <c r="A415" s="507"/>
      <c r="B415" s="485"/>
      <c r="C415" s="494"/>
      <c r="D415" s="538"/>
      <c r="E415" s="488"/>
      <c r="F415" s="487"/>
      <c r="G415" s="511"/>
    </row>
    <row r="416" spans="1:7" x14ac:dyDescent="0.25">
      <c r="A416" s="507" t="s">
        <v>785</v>
      </c>
      <c r="B416" s="485" t="s">
        <v>786</v>
      </c>
      <c r="C416" s="489" t="s">
        <v>801</v>
      </c>
      <c r="D416" s="490" t="s">
        <v>788</v>
      </c>
      <c r="E416" s="496" t="s">
        <v>789</v>
      </c>
      <c r="F416" s="492" t="s">
        <v>790</v>
      </c>
      <c r="G416" s="509" t="s">
        <v>791</v>
      </c>
    </row>
    <row r="417" spans="1:7" s="381" customFormat="1" x14ac:dyDescent="0.25">
      <c r="A417" s="515" t="s">
        <v>815</v>
      </c>
      <c r="B417" s="546" t="s">
        <v>808</v>
      </c>
      <c r="C417" s="501" t="str">
        <f>B420</f>
        <v>MANILHA SAPATILHA</v>
      </c>
      <c r="D417" s="539" t="s">
        <v>62</v>
      </c>
      <c r="E417" s="498">
        <v>1</v>
      </c>
      <c r="F417" s="540">
        <f>D425</f>
        <v>21.63</v>
      </c>
      <c r="G417" s="514">
        <f>TRUNC(F417*E417,2)</f>
        <v>21.63</v>
      </c>
    </row>
    <row r="418" spans="1:7" s="381" customFormat="1" x14ac:dyDescent="0.25">
      <c r="A418" s="788" t="s">
        <v>21</v>
      </c>
      <c r="B418" s="789"/>
      <c r="C418" s="789"/>
      <c r="D418" s="789"/>
      <c r="E418" s="789"/>
      <c r="F418" s="789"/>
      <c r="G418" s="511">
        <f>SUM(G417:G417)</f>
        <v>21.63</v>
      </c>
    </row>
    <row r="419" spans="1:7" s="381" customFormat="1" x14ac:dyDescent="0.25">
      <c r="A419" s="780"/>
      <c r="B419" s="781"/>
      <c r="C419" s="781"/>
      <c r="D419" s="781"/>
      <c r="E419" s="781"/>
      <c r="F419" s="781"/>
      <c r="G419" s="782"/>
    </row>
    <row r="420" spans="1:7" s="381" customFormat="1" ht="15" customHeight="1" x14ac:dyDescent="0.25">
      <c r="A420" s="544" t="s">
        <v>809</v>
      </c>
      <c r="B420" s="802" t="s">
        <v>825</v>
      </c>
      <c r="C420" s="802"/>
      <c r="D420" s="802"/>
      <c r="E420" s="802"/>
      <c r="F420" s="802"/>
      <c r="G420" s="809"/>
    </row>
    <row r="421" spans="1:7" x14ac:dyDescent="0.25">
      <c r="A421" s="545"/>
      <c r="B421" s="728" t="s">
        <v>1247</v>
      </c>
      <c r="C421" s="728"/>
      <c r="D421" s="784" t="s">
        <v>810</v>
      </c>
      <c r="E421" s="784"/>
      <c r="F421" s="541" t="s">
        <v>811</v>
      </c>
      <c r="G421" s="516" t="s">
        <v>1183</v>
      </c>
    </row>
    <row r="422" spans="1:7" ht="15" customHeight="1" x14ac:dyDescent="0.25">
      <c r="A422" s="517">
        <v>44740</v>
      </c>
      <c r="B422" s="775" t="s">
        <v>1358</v>
      </c>
      <c r="C422" s="775"/>
      <c r="D422" s="776">
        <v>21.9</v>
      </c>
      <c r="E422" s="776"/>
      <c r="F422" s="542" t="s">
        <v>1212</v>
      </c>
      <c r="G422" s="518" t="s">
        <v>1359</v>
      </c>
    </row>
    <row r="423" spans="1:7" ht="15" customHeight="1" x14ac:dyDescent="0.25">
      <c r="A423" s="519">
        <v>44741</v>
      </c>
      <c r="B423" s="785" t="s">
        <v>1362</v>
      </c>
      <c r="C423" s="785"/>
      <c r="D423" s="783">
        <v>21.63</v>
      </c>
      <c r="E423" s="783"/>
      <c r="F423" s="539" t="s">
        <v>1182</v>
      </c>
      <c r="G423" s="520" t="s">
        <v>1363</v>
      </c>
    </row>
    <row r="424" spans="1:7" s="381" customFormat="1" ht="15" customHeight="1" x14ac:dyDescent="0.25">
      <c r="A424" s="519">
        <v>44741</v>
      </c>
      <c r="B424" s="785" t="s">
        <v>1248</v>
      </c>
      <c r="C424" s="785"/>
      <c r="D424" s="783">
        <v>20.32</v>
      </c>
      <c r="E424" s="783"/>
      <c r="F424" s="539" t="s">
        <v>1360</v>
      </c>
      <c r="G424" s="520" t="s">
        <v>1361</v>
      </c>
    </row>
    <row r="425" spans="1:7" ht="15" customHeight="1" x14ac:dyDescent="0.25">
      <c r="A425" s="787" t="s">
        <v>812</v>
      </c>
      <c r="B425" s="777"/>
      <c r="C425" s="777"/>
      <c r="D425" s="800">
        <f>MEDIAN(D422:E424)</f>
        <v>21.63</v>
      </c>
      <c r="E425" s="800"/>
      <c r="F425" s="800"/>
      <c r="G425" s="801"/>
    </row>
    <row r="426" spans="1:7" x14ac:dyDescent="0.25">
      <c r="A426" s="780"/>
      <c r="B426" s="781"/>
      <c r="C426" s="781"/>
      <c r="D426" s="781"/>
      <c r="E426" s="781"/>
      <c r="F426" s="781"/>
      <c r="G426" s="782"/>
    </row>
    <row r="427" spans="1:7" x14ac:dyDescent="0.25">
      <c r="A427" s="772" t="s">
        <v>1232</v>
      </c>
      <c r="B427" s="773"/>
      <c r="C427" s="773"/>
      <c r="D427" s="773"/>
      <c r="E427" s="773"/>
      <c r="F427" s="773"/>
      <c r="G427" s="774"/>
    </row>
    <row r="428" spans="1:7" x14ac:dyDescent="0.25">
      <c r="A428" s="772"/>
      <c r="B428" s="773"/>
      <c r="C428" s="773"/>
      <c r="D428" s="773"/>
      <c r="E428" s="773"/>
      <c r="F428" s="773"/>
      <c r="G428" s="774"/>
    </row>
    <row r="429" spans="1:7" x14ac:dyDescent="0.25">
      <c r="A429" s="780"/>
      <c r="B429" s="781"/>
      <c r="C429" s="781"/>
      <c r="D429" s="781"/>
      <c r="E429" s="781"/>
      <c r="F429" s="781"/>
      <c r="G429" s="782"/>
    </row>
    <row r="430" spans="1:7" x14ac:dyDescent="0.25">
      <c r="A430" s="790" t="s">
        <v>1448</v>
      </c>
      <c r="B430" s="791"/>
      <c r="C430" s="792" t="str">
        <f>B441</f>
        <v>ISOLADOR BASTÃO SUSPENSÃO POLIMÉRICO 15 KV</v>
      </c>
      <c r="D430" s="792"/>
      <c r="E430" s="792"/>
      <c r="F430" s="792"/>
      <c r="G430" s="793"/>
    </row>
    <row r="431" spans="1:7" x14ac:dyDescent="0.25">
      <c r="A431" s="780"/>
      <c r="B431" s="781"/>
      <c r="C431" s="781"/>
      <c r="D431" s="781"/>
      <c r="E431" s="781"/>
      <c r="F431" s="781"/>
      <c r="G431" s="782"/>
    </row>
    <row r="432" spans="1:7" x14ac:dyDescent="0.25">
      <c r="A432" s="507" t="s">
        <v>785</v>
      </c>
      <c r="B432" s="485" t="s">
        <v>786</v>
      </c>
      <c r="C432" s="489" t="s">
        <v>787</v>
      </c>
      <c r="D432" s="490" t="s">
        <v>788</v>
      </c>
      <c r="E432" s="491" t="s">
        <v>789</v>
      </c>
      <c r="F432" s="492" t="s">
        <v>790</v>
      </c>
      <c r="G432" s="509" t="s">
        <v>791</v>
      </c>
    </row>
    <row r="433" spans="1:7" x14ac:dyDescent="0.25">
      <c r="A433" s="545">
        <v>88247</v>
      </c>
      <c r="B433" s="546" t="s">
        <v>792</v>
      </c>
      <c r="C433" s="499" t="s">
        <v>806</v>
      </c>
      <c r="D433" s="542" t="s">
        <v>799</v>
      </c>
      <c r="E433" s="495">
        <v>0.15</v>
      </c>
      <c r="F433" s="543">
        <v>19.2</v>
      </c>
      <c r="G433" s="514">
        <f>TRUNC(F433*E433,2)</f>
        <v>2.88</v>
      </c>
    </row>
    <row r="434" spans="1:7" x14ac:dyDescent="0.25">
      <c r="A434" s="545">
        <v>88264</v>
      </c>
      <c r="B434" s="546" t="s">
        <v>792</v>
      </c>
      <c r="C434" s="499" t="s">
        <v>807</v>
      </c>
      <c r="D434" s="542" t="s">
        <v>799</v>
      </c>
      <c r="E434" s="495">
        <v>0.15</v>
      </c>
      <c r="F434" s="543">
        <v>23.24</v>
      </c>
      <c r="G434" s="514">
        <f>TRUNC(F434*E434,2)</f>
        <v>3.48</v>
      </c>
    </row>
    <row r="435" spans="1:7" x14ac:dyDescent="0.25">
      <c r="A435" s="788" t="s">
        <v>21</v>
      </c>
      <c r="B435" s="789"/>
      <c r="C435" s="789"/>
      <c r="D435" s="789"/>
      <c r="E435" s="789"/>
      <c r="F435" s="789"/>
      <c r="G435" s="511">
        <f>SUM(G433:G434)</f>
        <v>6.3599999999999994</v>
      </c>
    </row>
    <row r="436" spans="1:7" x14ac:dyDescent="0.25">
      <c r="A436" s="780"/>
      <c r="B436" s="781"/>
      <c r="C436" s="781"/>
      <c r="D436" s="781"/>
      <c r="E436" s="781"/>
      <c r="F436" s="781"/>
      <c r="G436" s="782"/>
    </row>
    <row r="437" spans="1:7" x14ac:dyDescent="0.25">
      <c r="A437" s="507" t="s">
        <v>785</v>
      </c>
      <c r="B437" s="485" t="s">
        <v>786</v>
      </c>
      <c r="C437" s="489" t="s">
        <v>801</v>
      </c>
      <c r="D437" s="490" t="s">
        <v>788</v>
      </c>
      <c r="E437" s="496" t="s">
        <v>789</v>
      </c>
      <c r="F437" s="492" t="s">
        <v>790</v>
      </c>
      <c r="G437" s="509" t="s">
        <v>791</v>
      </c>
    </row>
    <row r="438" spans="1:7" x14ac:dyDescent="0.25">
      <c r="A438" s="515" t="s">
        <v>815</v>
      </c>
      <c r="B438" s="546" t="s">
        <v>808</v>
      </c>
      <c r="C438" s="501" t="str">
        <f>B441</f>
        <v>ISOLADOR BASTÃO SUSPENSÃO POLIMÉRICO 15 KV</v>
      </c>
      <c r="D438" s="539" t="s">
        <v>62</v>
      </c>
      <c r="E438" s="498">
        <v>1</v>
      </c>
      <c r="F438" s="540">
        <f>D446</f>
        <v>54.43</v>
      </c>
      <c r="G438" s="514">
        <f>TRUNC(F438*E438,2)</f>
        <v>54.43</v>
      </c>
    </row>
    <row r="439" spans="1:7" x14ac:dyDescent="0.25">
      <c r="A439" s="788" t="s">
        <v>21</v>
      </c>
      <c r="B439" s="789"/>
      <c r="C439" s="789"/>
      <c r="D439" s="789"/>
      <c r="E439" s="789"/>
      <c r="F439" s="789"/>
      <c r="G439" s="511">
        <f>SUM(G438:G438)</f>
        <v>54.43</v>
      </c>
    </row>
    <row r="440" spans="1:7" x14ac:dyDescent="0.25">
      <c r="A440" s="780"/>
      <c r="B440" s="781"/>
      <c r="C440" s="781"/>
      <c r="D440" s="781"/>
      <c r="E440" s="781"/>
      <c r="F440" s="781"/>
      <c r="G440" s="782"/>
    </row>
    <row r="441" spans="1:7" ht="15" customHeight="1" x14ac:dyDescent="0.25">
      <c r="A441" s="544" t="s">
        <v>809</v>
      </c>
      <c r="B441" s="802" t="s">
        <v>1187</v>
      </c>
      <c r="C441" s="802"/>
      <c r="D441" s="802"/>
      <c r="E441" s="802"/>
      <c r="F441" s="802"/>
      <c r="G441" s="809"/>
    </row>
    <row r="442" spans="1:7" x14ac:dyDescent="0.25">
      <c r="A442" s="545"/>
      <c r="B442" s="728" t="s">
        <v>1247</v>
      </c>
      <c r="C442" s="728"/>
      <c r="D442" s="784" t="s">
        <v>810</v>
      </c>
      <c r="E442" s="784"/>
      <c r="F442" s="541" t="s">
        <v>811</v>
      </c>
      <c r="G442" s="516" t="s">
        <v>1183</v>
      </c>
    </row>
    <row r="443" spans="1:7" ht="15" customHeight="1" x14ac:dyDescent="0.25">
      <c r="A443" s="517">
        <v>44740</v>
      </c>
      <c r="B443" s="775" t="s">
        <v>1358</v>
      </c>
      <c r="C443" s="775"/>
      <c r="D443" s="776">
        <v>54.43</v>
      </c>
      <c r="E443" s="776"/>
      <c r="F443" s="542" t="s">
        <v>1212</v>
      </c>
      <c r="G443" s="518" t="s">
        <v>1359</v>
      </c>
    </row>
    <row r="444" spans="1:7" ht="15" customHeight="1" x14ac:dyDescent="0.25">
      <c r="A444" s="519">
        <v>44741</v>
      </c>
      <c r="B444" s="785" t="s">
        <v>1362</v>
      </c>
      <c r="C444" s="785"/>
      <c r="D444" s="783">
        <v>42.27</v>
      </c>
      <c r="E444" s="783"/>
      <c r="F444" s="539" t="s">
        <v>1182</v>
      </c>
      <c r="G444" s="520" t="s">
        <v>1363</v>
      </c>
    </row>
    <row r="445" spans="1:7" s="381" customFormat="1" ht="15" customHeight="1" x14ac:dyDescent="0.25">
      <c r="A445" s="519">
        <v>44741</v>
      </c>
      <c r="B445" s="785" t="s">
        <v>1248</v>
      </c>
      <c r="C445" s="785"/>
      <c r="D445" s="783">
        <v>89.62</v>
      </c>
      <c r="E445" s="783"/>
      <c r="F445" s="539" t="s">
        <v>1360</v>
      </c>
      <c r="G445" s="520" t="s">
        <v>1361</v>
      </c>
    </row>
    <row r="446" spans="1:7" x14ac:dyDescent="0.25">
      <c r="A446" s="787" t="s">
        <v>812</v>
      </c>
      <c r="B446" s="777"/>
      <c r="C446" s="777"/>
      <c r="D446" s="800">
        <f>MEDIAN(D443:E445)</f>
        <v>54.43</v>
      </c>
      <c r="E446" s="800"/>
      <c r="F446" s="800"/>
      <c r="G446" s="801"/>
    </row>
    <row r="447" spans="1:7" x14ac:dyDescent="0.25">
      <c r="A447" s="780"/>
      <c r="B447" s="781"/>
      <c r="C447" s="781"/>
      <c r="D447" s="781"/>
      <c r="E447" s="781"/>
      <c r="F447" s="781"/>
      <c r="G447" s="782"/>
    </row>
    <row r="448" spans="1:7" x14ac:dyDescent="0.25">
      <c r="A448" s="772" t="s">
        <v>1233</v>
      </c>
      <c r="B448" s="773"/>
      <c r="C448" s="773"/>
      <c r="D448" s="773"/>
      <c r="E448" s="773"/>
      <c r="F448" s="773"/>
      <c r="G448" s="774"/>
    </row>
    <row r="449" spans="1:7" x14ac:dyDescent="0.25">
      <c r="A449" s="772"/>
      <c r="B449" s="773"/>
      <c r="C449" s="773"/>
      <c r="D449" s="773"/>
      <c r="E449" s="773"/>
      <c r="F449" s="773"/>
      <c r="G449" s="774"/>
    </row>
    <row r="450" spans="1:7" x14ac:dyDescent="0.25">
      <c r="A450" s="780"/>
      <c r="B450" s="781"/>
      <c r="C450" s="781"/>
      <c r="D450" s="781"/>
      <c r="E450" s="781"/>
      <c r="F450" s="781"/>
      <c r="G450" s="782"/>
    </row>
    <row r="451" spans="1:7" x14ac:dyDescent="0.25">
      <c r="A451" s="790" t="s">
        <v>1449</v>
      </c>
      <c r="B451" s="791"/>
      <c r="C451" s="792" t="str">
        <f>B462</f>
        <v>MÃO FRANCESA PLANA NORMAL 619 MM</v>
      </c>
      <c r="D451" s="792"/>
      <c r="E451" s="792"/>
      <c r="F451" s="792"/>
      <c r="G451" s="793"/>
    </row>
    <row r="452" spans="1:7" x14ac:dyDescent="0.25">
      <c r="A452" s="780"/>
      <c r="B452" s="781"/>
      <c r="C452" s="781"/>
      <c r="D452" s="781"/>
      <c r="E452" s="781"/>
      <c r="F452" s="781"/>
      <c r="G452" s="782"/>
    </row>
    <row r="453" spans="1:7" x14ac:dyDescent="0.25">
      <c r="A453" s="507" t="s">
        <v>785</v>
      </c>
      <c r="B453" s="485" t="s">
        <v>786</v>
      </c>
      <c r="C453" s="489" t="s">
        <v>787</v>
      </c>
      <c r="D453" s="490" t="s">
        <v>788</v>
      </c>
      <c r="E453" s="491" t="s">
        <v>789</v>
      </c>
      <c r="F453" s="492" t="s">
        <v>790</v>
      </c>
      <c r="G453" s="509" t="s">
        <v>791</v>
      </c>
    </row>
    <row r="454" spans="1:7" x14ac:dyDescent="0.25">
      <c r="A454" s="545">
        <v>88247</v>
      </c>
      <c r="B454" s="546" t="s">
        <v>792</v>
      </c>
      <c r="C454" s="499" t="s">
        <v>806</v>
      </c>
      <c r="D454" s="542" t="s">
        <v>799</v>
      </c>
      <c r="E454" s="495">
        <v>0.25</v>
      </c>
      <c r="F454" s="543">
        <v>19.2</v>
      </c>
      <c r="G454" s="514">
        <f>TRUNC(F454*E454,2)</f>
        <v>4.8</v>
      </c>
    </row>
    <row r="455" spans="1:7" s="381" customFormat="1" x14ac:dyDescent="0.25">
      <c r="A455" s="545">
        <v>88264</v>
      </c>
      <c r="B455" s="546" t="s">
        <v>792</v>
      </c>
      <c r="C455" s="499" t="s">
        <v>807</v>
      </c>
      <c r="D455" s="542" t="s">
        <v>799</v>
      </c>
      <c r="E455" s="495">
        <v>0.25</v>
      </c>
      <c r="F455" s="543">
        <v>23.24</v>
      </c>
      <c r="G455" s="514">
        <f>TRUNC(F455*E455,2)</f>
        <v>5.81</v>
      </c>
    </row>
    <row r="456" spans="1:7" x14ac:dyDescent="0.25">
      <c r="A456" s="788" t="s">
        <v>21</v>
      </c>
      <c r="B456" s="789"/>
      <c r="C456" s="789"/>
      <c r="D456" s="789"/>
      <c r="E456" s="789"/>
      <c r="F456" s="789"/>
      <c r="G456" s="511">
        <f>SUM(G454:G455)</f>
        <v>10.61</v>
      </c>
    </row>
    <row r="457" spans="1:7" x14ac:dyDescent="0.25">
      <c r="A457" s="780"/>
      <c r="B457" s="781"/>
      <c r="C457" s="781"/>
      <c r="D457" s="781"/>
      <c r="E457" s="781"/>
      <c r="F457" s="781"/>
      <c r="G457" s="782"/>
    </row>
    <row r="458" spans="1:7" x14ac:dyDescent="0.25">
      <c r="A458" s="507" t="s">
        <v>785</v>
      </c>
      <c r="B458" s="485" t="s">
        <v>786</v>
      </c>
      <c r="C458" s="489" t="s">
        <v>801</v>
      </c>
      <c r="D458" s="490" t="s">
        <v>788</v>
      </c>
      <c r="E458" s="496" t="s">
        <v>789</v>
      </c>
      <c r="F458" s="492" t="s">
        <v>790</v>
      </c>
      <c r="G458" s="509" t="s">
        <v>791</v>
      </c>
    </row>
    <row r="459" spans="1:7" x14ac:dyDescent="0.25">
      <c r="A459" s="515" t="s">
        <v>815</v>
      </c>
      <c r="B459" s="546" t="s">
        <v>808</v>
      </c>
      <c r="C459" s="501" t="str">
        <f>B462</f>
        <v>MÃO FRANCESA PLANA NORMAL 619 MM</v>
      </c>
      <c r="D459" s="539" t="s">
        <v>62</v>
      </c>
      <c r="E459" s="498">
        <v>1</v>
      </c>
      <c r="F459" s="540">
        <f>D467</f>
        <v>24.16</v>
      </c>
      <c r="G459" s="514">
        <f>TRUNC(F459*E459,2)</f>
        <v>24.16</v>
      </c>
    </row>
    <row r="460" spans="1:7" x14ac:dyDescent="0.25">
      <c r="A460" s="788" t="s">
        <v>21</v>
      </c>
      <c r="B460" s="789"/>
      <c r="C460" s="789"/>
      <c r="D460" s="789"/>
      <c r="E460" s="789"/>
      <c r="F460" s="789"/>
      <c r="G460" s="511">
        <f>SUM(G459:G459)</f>
        <v>24.16</v>
      </c>
    </row>
    <row r="461" spans="1:7" x14ac:dyDescent="0.25">
      <c r="A461" s="797" t="s">
        <v>796</v>
      </c>
      <c r="B461" s="786"/>
      <c r="C461" s="786"/>
      <c r="D461" s="786"/>
      <c r="E461" s="786"/>
      <c r="F461" s="786"/>
      <c r="G461" s="512">
        <f>G456+G460</f>
        <v>34.769999999999996</v>
      </c>
    </row>
    <row r="462" spans="1:7" s="381" customFormat="1" x14ac:dyDescent="0.25">
      <c r="A462" s="544" t="s">
        <v>809</v>
      </c>
      <c r="B462" s="728" t="s">
        <v>1188</v>
      </c>
      <c r="C462" s="728"/>
      <c r="D462" s="728"/>
      <c r="E462" s="728"/>
      <c r="F462" s="728"/>
      <c r="G462" s="729"/>
    </row>
    <row r="463" spans="1:7" x14ac:dyDescent="0.25">
      <c r="A463" s="545"/>
      <c r="B463" s="728" t="s">
        <v>1247</v>
      </c>
      <c r="C463" s="728"/>
      <c r="D463" s="784" t="s">
        <v>810</v>
      </c>
      <c r="E463" s="784"/>
      <c r="F463" s="541" t="s">
        <v>811</v>
      </c>
      <c r="G463" s="516" t="s">
        <v>1183</v>
      </c>
    </row>
    <row r="464" spans="1:7" ht="15" customHeight="1" x14ac:dyDescent="0.25">
      <c r="A464" s="517">
        <v>44740</v>
      </c>
      <c r="B464" s="775" t="s">
        <v>1358</v>
      </c>
      <c r="C464" s="775"/>
      <c r="D464" s="776">
        <v>17.72</v>
      </c>
      <c r="E464" s="776"/>
      <c r="F464" s="542" t="s">
        <v>1212</v>
      </c>
      <c r="G464" s="518" t="s">
        <v>1359</v>
      </c>
    </row>
    <row r="465" spans="1:7" ht="15" customHeight="1" x14ac:dyDescent="0.25">
      <c r="A465" s="519">
        <v>44741</v>
      </c>
      <c r="B465" s="785" t="s">
        <v>1362</v>
      </c>
      <c r="C465" s="785"/>
      <c r="D465" s="783">
        <v>24.16</v>
      </c>
      <c r="E465" s="783"/>
      <c r="F465" s="539" t="s">
        <v>1182</v>
      </c>
      <c r="G465" s="520" t="s">
        <v>1363</v>
      </c>
    </row>
    <row r="466" spans="1:7" s="381" customFormat="1" ht="15" customHeight="1" x14ac:dyDescent="0.25">
      <c r="A466" s="519">
        <v>44741</v>
      </c>
      <c r="B466" s="785" t="s">
        <v>1248</v>
      </c>
      <c r="C466" s="785"/>
      <c r="D466" s="783">
        <v>25.77</v>
      </c>
      <c r="E466" s="783"/>
      <c r="F466" s="539" t="s">
        <v>1360</v>
      </c>
      <c r="G466" s="520" t="s">
        <v>1361</v>
      </c>
    </row>
    <row r="467" spans="1:7" x14ac:dyDescent="0.25">
      <c r="A467" s="787" t="s">
        <v>812</v>
      </c>
      <c r="B467" s="777"/>
      <c r="C467" s="777"/>
      <c r="D467" s="800">
        <f>MEDIAN(D464:E466)</f>
        <v>24.16</v>
      </c>
      <c r="E467" s="800"/>
      <c r="F467" s="800"/>
      <c r="G467" s="801"/>
    </row>
    <row r="468" spans="1:7" x14ac:dyDescent="0.25">
      <c r="A468" s="780"/>
      <c r="B468" s="781"/>
      <c r="C468" s="781"/>
      <c r="D468" s="781"/>
      <c r="E468" s="781"/>
      <c r="F468" s="781"/>
      <c r="G468" s="782"/>
    </row>
    <row r="469" spans="1:7" x14ac:dyDescent="0.25">
      <c r="A469" s="772" t="s">
        <v>1234</v>
      </c>
      <c r="B469" s="773"/>
      <c r="C469" s="773"/>
      <c r="D469" s="773"/>
      <c r="E469" s="773"/>
      <c r="F469" s="773"/>
      <c r="G469" s="774"/>
    </row>
    <row r="470" spans="1:7" x14ac:dyDescent="0.25">
      <c r="A470" s="772"/>
      <c r="B470" s="773"/>
      <c r="C470" s="773"/>
      <c r="D470" s="773"/>
      <c r="E470" s="773"/>
      <c r="F470" s="773"/>
      <c r="G470" s="774"/>
    </row>
    <row r="471" spans="1:7" x14ac:dyDescent="0.25">
      <c r="A471" s="806"/>
      <c r="B471" s="807"/>
      <c r="C471" s="807"/>
      <c r="D471" s="807"/>
      <c r="E471" s="807"/>
      <c r="F471" s="807"/>
      <c r="G471" s="808"/>
    </row>
    <row r="472" spans="1:7" x14ac:dyDescent="0.25">
      <c r="A472" s="790" t="s">
        <v>1450</v>
      </c>
      <c r="B472" s="791"/>
      <c r="C472" s="798" t="str">
        <f>C480</f>
        <v>ISOLADOR DE PORCELANA, TIPO PINO MONOCORPO, PARA TENSAO DE *15* KV</v>
      </c>
      <c r="D472" s="798"/>
      <c r="E472" s="798"/>
      <c r="F472" s="798"/>
      <c r="G472" s="799"/>
    </row>
    <row r="473" spans="1:7" x14ac:dyDescent="0.25">
      <c r="A473" s="780"/>
      <c r="B473" s="781"/>
      <c r="C473" s="781"/>
      <c r="D473" s="781"/>
      <c r="E473" s="781"/>
      <c r="F473" s="781"/>
      <c r="G473" s="782"/>
    </row>
    <row r="474" spans="1:7" x14ac:dyDescent="0.25">
      <c r="A474" s="507" t="s">
        <v>785</v>
      </c>
      <c r="B474" s="485" t="s">
        <v>786</v>
      </c>
      <c r="C474" s="489" t="s">
        <v>787</v>
      </c>
      <c r="D474" s="490" t="s">
        <v>788</v>
      </c>
      <c r="E474" s="491" t="s">
        <v>789</v>
      </c>
      <c r="F474" s="492" t="s">
        <v>790</v>
      </c>
      <c r="G474" s="509" t="s">
        <v>791</v>
      </c>
    </row>
    <row r="475" spans="1:7" s="381" customFormat="1" x14ac:dyDescent="0.25">
      <c r="A475" s="545">
        <v>88247</v>
      </c>
      <c r="B475" s="546" t="s">
        <v>792</v>
      </c>
      <c r="C475" s="499" t="s">
        <v>806</v>
      </c>
      <c r="D475" s="542" t="s">
        <v>799</v>
      </c>
      <c r="E475" s="495">
        <v>0.15</v>
      </c>
      <c r="F475" s="543">
        <v>19.2</v>
      </c>
      <c r="G475" s="514">
        <f>TRUNC(F475*E475,2)</f>
        <v>2.88</v>
      </c>
    </row>
    <row r="476" spans="1:7" x14ac:dyDescent="0.25">
      <c r="A476" s="545">
        <v>88264</v>
      </c>
      <c r="B476" s="546" t="s">
        <v>792</v>
      </c>
      <c r="C476" s="499" t="s">
        <v>807</v>
      </c>
      <c r="D476" s="542" t="s">
        <v>799</v>
      </c>
      <c r="E476" s="495">
        <v>0.15</v>
      </c>
      <c r="F476" s="543">
        <v>23.24</v>
      </c>
      <c r="G476" s="514">
        <f>TRUNC(F476*E476,2)</f>
        <v>3.48</v>
      </c>
    </row>
    <row r="477" spans="1:7" x14ac:dyDescent="0.25">
      <c r="A477" s="788" t="s">
        <v>21</v>
      </c>
      <c r="B477" s="789"/>
      <c r="C477" s="789"/>
      <c r="D477" s="789"/>
      <c r="E477" s="789"/>
      <c r="F477" s="789"/>
      <c r="G477" s="511">
        <f>SUM(G475:G476)</f>
        <v>6.3599999999999994</v>
      </c>
    </row>
    <row r="478" spans="1:7" x14ac:dyDescent="0.25">
      <c r="A478" s="780"/>
      <c r="B478" s="781"/>
      <c r="C478" s="781"/>
      <c r="D478" s="781"/>
      <c r="E478" s="781"/>
      <c r="F478" s="781"/>
      <c r="G478" s="782"/>
    </row>
    <row r="479" spans="1:7" x14ac:dyDescent="0.25">
      <c r="A479" s="507" t="s">
        <v>785</v>
      </c>
      <c r="B479" s="485" t="s">
        <v>786</v>
      </c>
      <c r="C479" s="489" t="s">
        <v>801</v>
      </c>
      <c r="D479" s="490" t="s">
        <v>788</v>
      </c>
      <c r="E479" s="496" t="s">
        <v>789</v>
      </c>
      <c r="F479" s="492" t="s">
        <v>790</v>
      </c>
      <c r="G479" s="509" t="s">
        <v>791</v>
      </c>
    </row>
    <row r="480" spans="1:7" x14ac:dyDescent="0.25">
      <c r="A480" s="515">
        <v>3406</v>
      </c>
      <c r="B480" s="546" t="s">
        <v>1257</v>
      </c>
      <c r="C480" s="501" t="s">
        <v>1615</v>
      </c>
      <c r="D480" s="539" t="s">
        <v>62</v>
      </c>
      <c r="E480" s="498">
        <v>1</v>
      </c>
      <c r="F480" s="540">
        <v>30</v>
      </c>
      <c r="G480" s="514">
        <f>TRUNC(F480*E480,2)</f>
        <v>30</v>
      </c>
    </row>
    <row r="481" spans="1:7" x14ac:dyDescent="0.25">
      <c r="A481" s="788" t="s">
        <v>21</v>
      </c>
      <c r="B481" s="789"/>
      <c r="C481" s="789"/>
      <c r="D481" s="789"/>
      <c r="E481" s="789"/>
      <c r="F481" s="789"/>
      <c r="G481" s="511">
        <f>SUM(G480:G480)</f>
        <v>30</v>
      </c>
    </row>
    <row r="482" spans="1:7" x14ac:dyDescent="0.25">
      <c r="A482" s="797" t="s">
        <v>796</v>
      </c>
      <c r="B482" s="786"/>
      <c r="C482" s="786"/>
      <c r="D482" s="786"/>
      <c r="E482" s="786"/>
      <c r="F482" s="786"/>
      <c r="G482" s="512">
        <f>G477+G481</f>
        <v>36.36</v>
      </c>
    </row>
    <row r="483" spans="1:7" x14ac:dyDescent="0.25">
      <c r="A483" s="780"/>
      <c r="B483" s="781"/>
      <c r="C483" s="781"/>
      <c r="D483" s="781"/>
      <c r="E483" s="781"/>
      <c r="F483" s="781"/>
      <c r="G483" s="782"/>
    </row>
    <row r="484" spans="1:7" x14ac:dyDescent="0.25">
      <c r="A484" s="772" t="s">
        <v>1235</v>
      </c>
      <c r="B484" s="773"/>
      <c r="C484" s="773"/>
      <c r="D484" s="773"/>
      <c r="E484" s="773"/>
      <c r="F484" s="773"/>
      <c r="G484" s="774"/>
    </row>
    <row r="485" spans="1:7" x14ac:dyDescent="0.25">
      <c r="A485" s="772"/>
      <c r="B485" s="773"/>
      <c r="C485" s="773"/>
      <c r="D485" s="773"/>
      <c r="E485" s="773"/>
      <c r="F485" s="773"/>
      <c r="G485" s="774"/>
    </row>
    <row r="486" spans="1:7" x14ac:dyDescent="0.25">
      <c r="A486" s="780"/>
      <c r="B486" s="781"/>
      <c r="C486" s="781"/>
      <c r="D486" s="781"/>
      <c r="E486" s="781"/>
      <c r="F486" s="781"/>
      <c r="G486" s="782"/>
    </row>
    <row r="487" spans="1:7" x14ac:dyDescent="0.25">
      <c r="A487" s="843" t="s">
        <v>1451</v>
      </c>
      <c r="B487" s="834"/>
      <c r="C487" s="798" t="str">
        <f>B498</f>
        <v xml:space="preserve">PINO AUTO TRAVANTE  100 MM PARA ISOLADOR </v>
      </c>
      <c r="D487" s="798"/>
      <c r="E487" s="798"/>
      <c r="F487" s="798"/>
      <c r="G487" s="799"/>
    </row>
    <row r="488" spans="1:7" x14ac:dyDescent="0.25">
      <c r="A488" s="780"/>
      <c r="B488" s="781"/>
      <c r="C488" s="781"/>
      <c r="D488" s="781"/>
      <c r="E488" s="781"/>
      <c r="F488" s="781"/>
      <c r="G488" s="782"/>
    </row>
    <row r="489" spans="1:7" x14ac:dyDescent="0.25">
      <c r="A489" s="507" t="s">
        <v>785</v>
      </c>
      <c r="B489" s="485" t="s">
        <v>786</v>
      </c>
      <c r="C489" s="489" t="s">
        <v>787</v>
      </c>
      <c r="D489" s="490" t="s">
        <v>788</v>
      </c>
      <c r="E489" s="491" t="s">
        <v>789</v>
      </c>
      <c r="F489" s="492" t="s">
        <v>790</v>
      </c>
      <c r="G489" s="509" t="s">
        <v>791</v>
      </c>
    </row>
    <row r="490" spans="1:7" x14ac:dyDescent="0.25">
      <c r="A490" s="545">
        <v>88247</v>
      </c>
      <c r="B490" s="546" t="s">
        <v>792</v>
      </c>
      <c r="C490" s="499" t="s">
        <v>806</v>
      </c>
      <c r="D490" s="542" t="s">
        <v>799</v>
      </c>
      <c r="E490" s="495">
        <v>0.2</v>
      </c>
      <c r="F490" s="543">
        <v>19.2</v>
      </c>
      <c r="G490" s="514">
        <f>TRUNC(F490*E490,2)</f>
        <v>3.84</v>
      </c>
    </row>
    <row r="491" spans="1:7" x14ac:dyDescent="0.25">
      <c r="A491" s="545">
        <v>88264</v>
      </c>
      <c r="B491" s="546" t="s">
        <v>792</v>
      </c>
      <c r="C491" s="499" t="s">
        <v>807</v>
      </c>
      <c r="D491" s="542" t="s">
        <v>799</v>
      </c>
      <c r="E491" s="495">
        <v>0.2</v>
      </c>
      <c r="F491" s="543">
        <v>23.24</v>
      </c>
      <c r="G491" s="514">
        <f>TRUNC(F491*E491,2)</f>
        <v>4.6399999999999997</v>
      </c>
    </row>
    <row r="492" spans="1:7" x14ac:dyDescent="0.25">
      <c r="A492" s="788" t="s">
        <v>21</v>
      </c>
      <c r="B492" s="789"/>
      <c r="C492" s="789"/>
      <c r="D492" s="789"/>
      <c r="E492" s="789"/>
      <c r="F492" s="789"/>
      <c r="G492" s="511">
        <f>SUM(G490:G491)</f>
        <v>8.48</v>
      </c>
    </row>
    <row r="493" spans="1:7" x14ac:dyDescent="0.25">
      <c r="A493" s="780"/>
      <c r="B493" s="781"/>
      <c r="C493" s="781"/>
      <c r="D493" s="781"/>
      <c r="E493" s="781"/>
      <c r="F493" s="781"/>
      <c r="G493" s="782"/>
    </row>
    <row r="494" spans="1:7" x14ac:dyDescent="0.25">
      <c r="A494" s="507" t="s">
        <v>785</v>
      </c>
      <c r="B494" s="485" t="s">
        <v>786</v>
      </c>
      <c r="C494" s="489" t="s">
        <v>801</v>
      </c>
      <c r="D494" s="490" t="s">
        <v>788</v>
      </c>
      <c r="E494" s="496" t="s">
        <v>789</v>
      </c>
      <c r="F494" s="492" t="s">
        <v>790</v>
      </c>
      <c r="G494" s="509" t="s">
        <v>791</v>
      </c>
    </row>
    <row r="495" spans="1:7" x14ac:dyDescent="0.25">
      <c r="A495" s="515" t="s">
        <v>815</v>
      </c>
      <c r="B495" s="546" t="s">
        <v>808</v>
      </c>
      <c r="C495" s="501" t="str">
        <f>B498</f>
        <v xml:space="preserve">PINO AUTO TRAVANTE  100 MM PARA ISOLADOR </v>
      </c>
      <c r="D495" s="539" t="s">
        <v>62</v>
      </c>
      <c r="E495" s="498">
        <v>1</v>
      </c>
      <c r="F495" s="540">
        <f>D503</f>
        <v>14.64</v>
      </c>
      <c r="G495" s="514">
        <f>TRUNC(F495*E495,2)</f>
        <v>14.64</v>
      </c>
    </row>
    <row r="496" spans="1:7" s="381" customFormat="1" x14ac:dyDescent="0.25">
      <c r="A496" s="788" t="s">
        <v>21</v>
      </c>
      <c r="B496" s="789"/>
      <c r="C496" s="789"/>
      <c r="D496" s="789"/>
      <c r="E496" s="789"/>
      <c r="F496" s="789"/>
      <c r="G496" s="511">
        <f>SUM(G495:G495)</f>
        <v>14.64</v>
      </c>
    </row>
    <row r="497" spans="1:7" s="381" customFormat="1" x14ac:dyDescent="0.25">
      <c r="A497" s="797" t="s">
        <v>796</v>
      </c>
      <c r="B497" s="786"/>
      <c r="C497" s="786"/>
      <c r="D497" s="786"/>
      <c r="E497" s="786"/>
      <c r="F497" s="786"/>
      <c r="G497" s="512">
        <f>G492+G496</f>
        <v>23.12</v>
      </c>
    </row>
    <row r="498" spans="1:7" x14ac:dyDescent="0.25">
      <c r="A498" s="544" t="s">
        <v>809</v>
      </c>
      <c r="B498" s="728" t="s">
        <v>1189</v>
      </c>
      <c r="C498" s="728"/>
      <c r="D498" s="728"/>
      <c r="E498" s="728"/>
      <c r="F498" s="728"/>
      <c r="G498" s="729"/>
    </row>
    <row r="499" spans="1:7" x14ac:dyDescent="0.25">
      <c r="A499" s="545"/>
      <c r="B499" s="728" t="s">
        <v>1247</v>
      </c>
      <c r="C499" s="728"/>
      <c r="D499" s="784" t="s">
        <v>810</v>
      </c>
      <c r="E499" s="784"/>
      <c r="F499" s="541" t="s">
        <v>811</v>
      </c>
      <c r="G499" s="516" t="s">
        <v>1183</v>
      </c>
    </row>
    <row r="500" spans="1:7" ht="15" customHeight="1" x14ac:dyDescent="0.25">
      <c r="A500" s="517">
        <v>44740</v>
      </c>
      <c r="B500" s="775" t="s">
        <v>1358</v>
      </c>
      <c r="C500" s="775"/>
      <c r="D500" s="776">
        <v>10.3</v>
      </c>
      <c r="E500" s="776"/>
      <c r="F500" s="542" t="s">
        <v>1212</v>
      </c>
      <c r="G500" s="518" t="s">
        <v>1359</v>
      </c>
    </row>
    <row r="501" spans="1:7" ht="15" customHeight="1" x14ac:dyDescent="0.25">
      <c r="A501" s="519">
        <v>44741</v>
      </c>
      <c r="B501" s="785" t="s">
        <v>1362</v>
      </c>
      <c r="C501" s="785"/>
      <c r="D501" s="783">
        <v>14.64</v>
      </c>
      <c r="E501" s="783"/>
      <c r="F501" s="539" t="s">
        <v>1182</v>
      </c>
      <c r="G501" s="520" t="s">
        <v>1363</v>
      </c>
    </row>
    <row r="502" spans="1:7" ht="15" customHeight="1" x14ac:dyDescent="0.25">
      <c r="A502" s="519">
        <v>44741</v>
      </c>
      <c r="B502" s="785" t="s">
        <v>1248</v>
      </c>
      <c r="C502" s="785"/>
      <c r="D502" s="783">
        <v>15.67</v>
      </c>
      <c r="E502" s="783"/>
      <c r="F502" s="539" t="s">
        <v>1360</v>
      </c>
      <c r="G502" s="520" t="s">
        <v>1361</v>
      </c>
    </row>
    <row r="503" spans="1:7" x14ac:dyDescent="0.25">
      <c r="A503" s="787" t="s">
        <v>812</v>
      </c>
      <c r="B503" s="777"/>
      <c r="C503" s="777"/>
      <c r="D503" s="800">
        <f>MEDIAN(D500:E502)</f>
        <v>14.64</v>
      </c>
      <c r="E503" s="800"/>
      <c r="F503" s="800"/>
      <c r="G503" s="801"/>
    </row>
    <row r="504" spans="1:7" x14ac:dyDescent="0.25">
      <c r="A504" s="780"/>
      <c r="B504" s="781"/>
      <c r="C504" s="781"/>
      <c r="D504" s="781"/>
      <c r="E504" s="781"/>
      <c r="F504" s="781"/>
      <c r="G504" s="782"/>
    </row>
    <row r="505" spans="1:7" ht="24" customHeight="1" x14ac:dyDescent="0.25">
      <c r="A505" s="772" t="s">
        <v>1674</v>
      </c>
      <c r="B505" s="773"/>
      <c r="C505" s="773"/>
      <c r="D505" s="773"/>
      <c r="E505" s="773"/>
      <c r="F505" s="773"/>
      <c r="G505" s="774"/>
    </row>
    <row r="506" spans="1:7" ht="21" customHeight="1" x14ac:dyDescent="0.25">
      <c r="A506" s="772"/>
      <c r="B506" s="773"/>
      <c r="C506" s="773"/>
      <c r="D506" s="773"/>
      <c r="E506" s="773"/>
      <c r="F506" s="773"/>
      <c r="G506" s="774"/>
    </row>
    <row r="507" spans="1:7" s="381" customFormat="1" x14ac:dyDescent="0.25">
      <c r="A507" s="780"/>
      <c r="B507" s="781"/>
      <c r="C507" s="781"/>
      <c r="D507" s="781"/>
      <c r="E507" s="781"/>
      <c r="F507" s="781"/>
      <c r="G507" s="782"/>
    </row>
    <row r="508" spans="1:7" x14ac:dyDescent="0.25">
      <c r="A508" s="790" t="s">
        <v>1452</v>
      </c>
      <c r="B508" s="791"/>
      <c r="C508" s="792" t="str">
        <f>C516</f>
        <v>ELETRODUTO DE AÇO GALVANIZADO - FOGO - 80 MM² (3")</v>
      </c>
      <c r="D508" s="792"/>
      <c r="E508" s="792"/>
      <c r="F508" s="792"/>
      <c r="G508" s="793"/>
    </row>
    <row r="509" spans="1:7" x14ac:dyDescent="0.25">
      <c r="A509" s="780"/>
      <c r="B509" s="781"/>
      <c r="C509" s="781"/>
      <c r="D509" s="781"/>
      <c r="E509" s="781"/>
      <c r="F509" s="781"/>
      <c r="G509" s="782"/>
    </row>
    <row r="510" spans="1:7" x14ac:dyDescent="0.25">
      <c r="A510" s="507" t="s">
        <v>785</v>
      </c>
      <c r="B510" s="485" t="s">
        <v>786</v>
      </c>
      <c r="C510" s="489" t="s">
        <v>787</v>
      </c>
      <c r="D510" s="490" t="s">
        <v>788</v>
      </c>
      <c r="E510" s="491" t="s">
        <v>789</v>
      </c>
      <c r="F510" s="492" t="s">
        <v>790</v>
      </c>
      <c r="G510" s="509" t="s">
        <v>791</v>
      </c>
    </row>
    <row r="511" spans="1:7" x14ac:dyDescent="0.25">
      <c r="A511" s="545">
        <v>88247</v>
      </c>
      <c r="B511" s="546" t="s">
        <v>792</v>
      </c>
      <c r="C511" s="499" t="s">
        <v>806</v>
      </c>
      <c r="D511" s="542" t="s">
        <v>799</v>
      </c>
      <c r="E511" s="495">
        <v>0.6</v>
      </c>
      <c r="F511" s="543">
        <v>19.2</v>
      </c>
      <c r="G511" s="514">
        <f>TRUNC(F511*E511,2)</f>
        <v>11.52</v>
      </c>
    </row>
    <row r="512" spans="1:7" x14ac:dyDescent="0.25">
      <c r="A512" s="545">
        <v>88264</v>
      </c>
      <c r="B512" s="546" t="s">
        <v>792</v>
      </c>
      <c r="C512" s="499" t="s">
        <v>807</v>
      </c>
      <c r="D512" s="542" t="s">
        <v>799</v>
      </c>
      <c r="E512" s="495">
        <v>0.6</v>
      </c>
      <c r="F512" s="543">
        <v>23.24</v>
      </c>
      <c r="G512" s="514">
        <f>TRUNC(F512*E512,2)</f>
        <v>13.94</v>
      </c>
    </row>
    <row r="513" spans="1:7" x14ac:dyDescent="0.25">
      <c r="A513" s="788" t="s">
        <v>21</v>
      </c>
      <c r="B513" s="789"/>
      <c r="C513" s="789"/>
      <c r="D513" s="789"/>
      <c r="E513" s="789"/>
      <c r="F513" s="789"/>
      <c r="G513" s="511">
        <f>SUM(G511:G512)</f>
        <v>25.46</v>
      </c>
    </row>
    <row r="514" spans="1:7" x14ac:dyDescent="0.25">
      <c r="A514" s="780"/>
      <c r="B514" s="781"/>
      <c r="C514" s="781"/>
      <c r="D514" s="781"/>
      <c r="E514" s="781"/>
      <c r="F514" s="781"/>
      <c r="G514" s="782"/>
    </row>
    <row r="515" spans="1:7" x14ac:dyDescent="0.25">
      <c r="A515" s="507" t="s">
        <v>785</v>
      </c>
      <c r="B515" s="485" t="s">
        <v>786</v>
      </c>
      <c r="C515" s="489" t="s">
        <v>801</v>
      </c>
      <c r="D515" s="490" t="s">
        <v>788</v>
      </c>
      <c r="E515" s="496" t="s">
        <v>789</v>
      </c>
      <c r="F515" s="492" t="s">
        <v>790</v>
      </c>
      <c r="G515" s="509" t="s">
        <v>791</v>
      </c>
    </row>
    <row r="516" spans="1:7" x14ac:dyDescent="0.25">
      <c r="A516" s="515" t="s">
        <v>815</v>
      </c>
      <c r="B516" s="546" t="s">
        <v>808</v>
      </c>
      <c r="C516" s="501" t="s">
        <v>1631</v>
      </c>
      <c r="D516" s="539" t="s">
        <v>62</v>
      </c>
      <c r="E516" s="498">
        <v>1</v>
      </c>
      <c r="F516" s="540">
        <f>D524</f>
        <v>349.73</v>
      </c>
      <c r="G516" s="514">
        <f>TRUNC(F516*E516,2)</f>
        <v>349.73</v>
      </c>
    </row>
    <row r="517" spans="1:7" x14ac:dyDescent="0.25">
      <c r="A517" s="788" t="s">
        <v>21</v>
      </c>
      <c r="B517" s="789"/>
      <c r="C517" s="789"/>
      <c r="D517" s="789"/>
      <c r="E517" s="789"/>
      <c r="F517" s="789"/>
      <c r="G517" s="511">
        <f>SUM(G516:G516)</f>
        <v>349.73</v>
      </c>
    </row>
    <row r="518" spans="1:7" x14ac:dyDescent="0.25">
      <c r="A518" s="780"/>
      <c r="B518" s="781"/>
      <c r="C518" s="781"/>
      <c r="D518" s="781"/>
      <c r="E518" s="781"/>
      <c r="F518" s="781"/>
      <c r="G518" s="782"/>
    </row>
    <row r="519" spans="1:7" x14ac:dyDescent="0.25">
      <c r="A519" s="544" t="s">
        <v>809</v>
      </c>
      <c r="B519" s="728" t="str">
        <f>C516</f>
        <v>ELETRODUTO DE AÇO GALVANIZADO - FOGO - 80 MM² (3")</v>
      </c>
      <c r="C519" s="728"/>
      <c r="D519" s="784"/>
      <c r="E519" s="784"/>
      <c r="F519" s="502"/>
      <c r="G519" s="516"/>
    </row>
    <row r="520" spans="1:7" x14ac:dyDescent="0.25">
      <c r="A520" s="545"/>
      <c r="B520" s="728" t="s">
        <v>1247</v>
      </c>
      <c r="C520" s="728"/>
      <c r="D520" s="784" t="s">
        <v>810</v>
      </c>
      <c r="E520" s="784"/>
      <c r="F520" s="541" t="s">
        <v>811</v>
      </c>
      <c r="G520" s="516" t="s">
        <v>1183</v>
      </c>
    </row>
    <row r="521" spans="1:7" ht="15" customHeight="1" x14ac:dyDescent="0.25">
      <c r="A521" s="517">
        <v>44740</v>
      </c>
      <c r="B521" s="775" t="s">
        <v>1358</v>
      </c>
      <c r="C521" s="775"/>
      <c r="D521" s="776">
        <v>349.73</v>
      </c>
      <c r="E521" s="776"/>
      <c r="F521" s="542" t="s">
        <v>1212</v>
      </c>
      <c r="G521" s="518" t="s">
        <v>1359</v>
      </c>
    </row>
    <row r="522" spans="1:7" ht="15" customHeight="1" x14ac:dyDescent="0.25">
      <c r="A522" s="519">
        <v>44741</v>
      </c>
      <c r="B522" s="785" t="s">
        <v>1362</v>
      </c>
      <c r="C522" s="785"/>
      <c r="D522" s="783">
        <v>425.8</v>
      </c>
      <c r="E522" s="783"/>
      <c r="F522" s="539" t="s">
        <v>1182</v>
      </c>
      <c r="G522" s="520" t="s">
        <v>1363</v>
      </c>
    </row>
    <row r="523" spans="1:7" ht="15" customHeight="1" x14ac:dyDescent="0.25">
      <c r="A523" s="519">
        <v>44741</v>
      </c>
      <c r="B523" s="785" t="s">
        <v>1248</v>
      </c>
      <c r="C523" s="785"/>
      <c r="D523" s="783">
        <v>297.14</v>
      </c>
      <c r="E523" s="783"/>
      <c r="F523" s="539" t="s">
        <v>1360</v>
      </c>
      <c r="G523" s="520" t="s">
        <v>1361</v>
      </c>
    </row>
    <row r="524" spans="1:7" x14ac:dyDescent="0.25">
      <c r="A524" s="787" t="s">
        <v>812</v>
      </c>
      <c r="B524" s="777"/>
      <c r="C524" s="777"/>
      <c r="D524" s="800">
        <f>MEDIAN(D521:E523)</f>
        <v>349.73</v>
      </c>
      <c r="E524" s="800"/>
      <c r="F524" s="800"/>
      <c r="G524" s="801"/>
    </row>
    <row r="525" spans="1:7" x14ac:dyDescent="0.25">
      <c r="A525" s="797" t="s">
        <v>796</v>
      </c>
      <c r="B525" s="786"/>
      <c r="C525" s="786"/>
      <c r="D525" s="786"/>
      <c r="E525" s="786"/>
      <c r="F525" s="786"/>
      <c r="G525" s="512">
        <f>G513+G517</f>
        <v>375.19</v>
      </c>
    </row>
    <row r="526" spans="1:7" x14ac:dyDescent="0.25">
      <c r="A526" s="780"/>
      <c r="B526" s="781"/>
      <c r="C526" s="781"/>
      <c r="D526" s="781"/>
      <c r="E526" s="781"/>
      <c r="F526" s="781"/>
      <c r="G526" s="782"/>
    </row>
    <row r="527" spans="1:7" x14ac:dyDescent="0.25">
      <c r="A527" s="772" t="s">
        <v>1651</v>
      </c>
      <c r="B527" s="773"/>
      <c r="C527" s="773"/>
      <c r="D527" s="773"/>
      <c r="E527" s="773"/>
      <c r="F527" s="773"/>
      <c r="G527" s="774"/>
    </row>
    <row r="528" spans="1:7" x14ac:dyDescent="0.25">
      <c r="A528" s="772"/>
      <c r="B528" s="773"/>
      <c r="C528" s="773"/>
      <c r="D528" s="773"/>
      <c r="E528" s="773"/>
      <c r="F528" s="773"/>
      <c r="G528" s="774"/>
    </row>
    <row r="529" spans="1:7" x14ac:dyDescent="0.25">
      <c r="A529" s="780"/>
      <c r="B529" s="781"/>
      <c r="C529" s="781"/>
      <c r="D529" s="781"/>
      <c r="E529" s="781"/>
      <c r="F529" s="781"/>
      <c r="G529" s="782"/>
    </row>
    <row r="530" spans="1:7" x14ac:dyDescent="0.25">
      <c r="A530" s="790" t="s">
        <v>1453</v>
      </c>
      <c r="B530" s="791"/>
      <c r="C530" s="798" t="str">
        <f>C538</f>
        <v>CURVA 90 GRAUS, PARA ELETRODUTO, EM ACO GALVANIZADO ELETROLITICO, DIAMETRO DE 80 MM (3")</v>
      </c>
      <c r="D530" s="798"/>
      <c r="E530" s="798"/>
      <c r="F530" s="798"/>
      <c r="G530" s="799"/>
    </row>
    <row r="531" spans="1:7" x14ac:dyDescent="0.25">
      <c r="A531" s="780"/>
      <c r="B531" s="781"/>
      <c r="C531" s="781"/>
      <c r="D531" s="781"/>
      <c r="E531" s="781"/>
      <c r="F531" s="781"/>
      <c r="G531" s="782"/>
    </row>
    <row r="532" spans="1:7" x14ac:dyDescent="0.25">
      <c r="A532" s="507" t="s">
        <v>785</v>
      </c>
      <c r="B532" s="485" t="s">
        <v>786</v>
      </c>
      <c r="C532" s="489" t="s">
        <v>787</v>
      </c>
      <c r="D532" s="490" t="s">
        <v>788</v>
      </c>
      <c r="E532" s="491" t="s">
        <v>789</v>
      </c>
      <c r="F532" s="492" t="s">
        <v>790</v>
      </c>
      <c r="G532" s="509" t="s">
        <v>791</v>
      </c>
    </row>
    <row r="533" spans="1:7" x14ac:dyDescent="0.25">
      <c r="A533" s="545">
        <v>88247</v>
      </c>
      <c r="B533" s="546" t="s">
        <v>792</v>
      </c>
      <c r="C533" s="499" t="s">
        <v>806</v>
      </c>
      <c r="D533" s="542" t="s">
        <v>799</v>
      </c>
      <c r="E533" s="495">
        <v>0.70099999999999996</v>
      </c>
      <c r="F533" s="543">
        <v>19.2</v>
      </c>
      <c r="G533" s="514">
        <f>TRUNC(F533*E533,2)</f>
        <v>13.45</v>
      </c>
    </row>
    <row r="534" spans="1:7" x14ac:dyDescent="0.25">
      <c r="A534" s="545">
        <v>88264</v>
      </c>
      <c r="B534" s="546" t="s">
        <v>792</v>
      </c>
      <c r="C534" s="499" t="s">
        <v>807</v>
      </c>
      <c r="D534" s="542" t="s">
        <v>799</v>
      </c>
      <c r="E534" s="495">
        <v>0.70099999999999996</v>
      </c>
      <c r="F534" s="543">
        <v>23.24</v>
      </c>
      <c r="G534" s="514">
        <f>TRUNC(F534*E534,2)</f>
        <v>16.29</v>
      </c>
    </row>
    <row r="535" spans="1:7" x14ac:dyDescent="0.25">
      <c r="A535" s="788" t="s">
        <v>21</v>
      </c>
      <c r="B535" s="789"/>
      <c r="C535" s="789"/>
      <c r="D535" s="789"/>
      <c r="E535" s="789"/>
      <c r="F535" s="789"/>
      <c r="G535" s="511">
        <f>SUM(G533:G534)</f>
        <v>29.74</v>
      </c>
    </row>
    <row r="536" spans="1:7" x14ac:dyDescent="0.25">
      <c r="A536" s="780"/>
      <c r="B536" s="781"/>
      <c r="C536" s="781"/>
      <c r="D536" s="781"/>
      <c r="E536" s="781"/>
      <c r="F536" s="781"/>
      <c r="G536" s="782"/>
    </row>
    <row r="537" spans="1:7" x14ac:dyDescent="0.25">
      <c r="A537" s="507" t="s">
        <v>785</v>
      </c>
      <c r="B537" s="485" t="s">
        <v>786</v>
      </c>
      <c r="C537" s="489" t="s">
        <v>801</v>
      </c>
      <c r="D537" s="490" t="s">
        <v>788</v>
      </c>
      <c r="E537" s="496" t="s">
        <v>789</v>
      </c>
      <c r="F537" s="492" t="s">
        <v>790</v>
      </c>
      <c r="G537" s="509" t="s">
        <v>791</v>
      </c>
    </row>
    <row r="538" spans="1:7" ht="30" x14ac:dyDescent="0.25">
      <c r="A538" s="515">
        <v>2620</v>
      </c>
      <c r="B538" s="546" t="s">
        <v>792</v>
      </c>
      <c r="C538" s="501" t="s">
        <v>1616</v>
      </c>
      <c r="D538" s="539" t="s">
        <v>62</v>
      </c>
      <c r="E538" s="498">
        <v>1</v>
      </c>
      <c r="F538" s="540">
        <v>105.03</v>
      </c>
      <c r="G538" s="514">
        <f>TRUNC(F538*E538,2)</f>
        <v>105.03</v>
      </c>
    </row>
    <row r="539" spans="1:7" x14ac:dyDescent="0.25">
      <c r="A539" s="788" t="s">
        <v>21</v>
      </c>
      <c r="B539" s="789"/>
      <c r="C539" s="789"/>
      <c r="D539" s="789"/>
      <c r="E539" s="789"/>
      <c r="F539" s="789"/>
      <c r="G539" s="511">
        <f>SUM(G538:G538)</f>
        <v>105.03</v>
      </c>
    </row>
    <row r="540" spans="1:7" x14ac:dyDescent="0.25">
      <c r="A540" s="797" t="s">
        <v>796</v>
      </c>
      <c r="B540" s="786"/>
      <c r="C540" s="786"/>
      <c r="D540" s="786"/>
      <c r="E540" s="786"/>
      <c r="F540" s="786"/>
      <c r="G540" s="512">
        <f>G535+G539</f>
        <v>134.77000000000001</v>
      </c>
    </row>
    <row r="541" spans="1:7" x14ac:dyDescent="0.25">
      <c r="A541" s="780"/>
      <c r="B541" s="781"/>
      <c r="C541" s="781"/>
      <c r="D541" s="781"/>
      <c r="E541" s="781"/>
      <c r="F541" s="781"/>
      <c r="G541" s="782"/>
    </row>
    <row r="542" spans="1:7" x14ac:dyDescent="0.25">
      <c r="A542" s="772" t="s">
        <v>1258</v>
      </c>
      <c r="B542" s="773"/>
      <c r="C542" s="773"/>
      <c r="D542" s="773"/>
      <c r="E542" s="773"/>
      <c r="F542" s="773"/>
      <c r="G542" s="774"/>
    </row>
    <row r="543" spans="1:7" x14ac:dyDescent="0.25">
      <c r="A543" s="772"/>
      <c r="B543" s="773"/>
      <c r="C543" s="773"/>
      <c r="D543" s="773"/>
      <c r="E543" s="773"/>
      <c r="F543" s="773"/>
      <c r="G543" s="774"/>
    </row>
    <row r="544" spans="1:7" x14ac:dyDescent="0.25">
      <c r="A544" s="794"/>
      <c r="B544" s="795"/>
      <c r="C544" s="795"/>
      <c r="D544" s="795"/>
      <c r="E544" s="795"/>
      <c r="F544" s="795"/>
      <c r="G544" s="796"/>
    </row>
    <row r="545" spans="1:7" x14ac:dyDescent="0.25">
      <c r="A545" s="790" t="s">
        <v>1454</v>
      </c>
      <c r="B545" s="791"/>
      <c r="C545" s="792" t="str">
        <f>B557</f>
        <v>FECHO PARA FITA AÇO INOX</v>
      </c>
      <c r="D545" s="792"/>
      <c r="E545" s="792"/>
      <c r="F545" s="792"/>
      <c r="G545" s="793"/>
    </row>
    <row r="546" spans="1:7" x14ac:dyDescent="0.25">
      <c r="A546" s="780"/>
      <c r="B546" s="781"/>
      <c r="C546" s="781"/>
      <c r="D546" s="781"/>
      <c r="E546" s="781"/>
      <c r="F546" s="781"/>
      <c r="G546" s="782"/>
    </row>
    <row r="547" spans="1:7" x14ac:dyDescent="0.25">
      <c r="A547" s="507" t="s">
        <v>785</v>
      </c>
      <c r="B547" s="485" t="s">
        <v>786</v>
      </c>
      <c r="C547" s="489" t="s">
        <v>787</v>
      </c>
      <c r="D547" s="490" t="s">
        <v>788</v>
      </c>
      <c r="E547" s="491" t="s">
        <v>789</v>
      </c>
      <c r="F547" s="492" t="s">
        <v>790</v>
      </c>
      <c r="G547" s="509" t="s">
        <v>791</v>
      </c>
    </row>
    <row r="548" spans="1:7" x14ac:dyDescent="0.25">
      <c r="A548" s="545">
        <v>88247</v>
      </c>
      <c r="B548" s="546" t="s">
        <v>792</v>
      </c>
      <c r="C548" s="499" t="s">
        <v>806</v>
      </c>
      <c r="D548" s="542" t="s">
        <v>799</v>
      </c>
      <c r="E548" s="495">
        <v>0.2</v>
      </c>
      <c r="F548" s="543">
        <v>19.2</v>
      </c>
      <c r="G548" s="514">
        <f>TRUNC(F548*E548,2)</f>
        <v>3.84</v>
      </c>
    </row>
    <row r="549" spans="1:7" x14ac:dyDescent="0.25">
      <c r="A549" s="545">
        <v>88264</v>
      </c>
      <c r="B549" s="546" t="s">
        <v>792</v>
      </c>
      <c r="C549" s="499" t="s">
        <v>807</v>
      </c>
      <c r="D549" s="542" t="s">
        <v>799</v>
      </c>
      <c r="E549" s="495">
        <v>0.2</v>
      </c>
      <c r="F549" s="543">
        <v>23.24</v>
      </c>
      <c r="G549" s="514">
        <f>TRUNC(F549*E549,2)</f>
        <v>4.6399999999999997</v>
      </c>
    </row>
    <row r="550" spans="1:7" x14ac:dyDescent="0.25">
      <c r="A550" s="788" t="s">
        <v>21</v>
      </c>
      <c r="B550" s="789"/>
      <c r="C550" s="789"/>
      <c r="D550" s="789"/>
      <c r="E550" s="789"/>
      <c r="F550" s="789"/>
      <c r="G550" s="511">
        <f>SUM(G548:G549)</f>
        <v>8.48</v>
      </c>
    </row>
    <row r="551" spans="1:7" x14ac:dyDescent="0.25">
      <c r="A551" s="780"/>
      <c r="B551" s="781"/>
      <c r="C551" s="781"/>
      <c r="D551" s="781"/>
      <c r="E551" s="781"/>
      <c r="F551" s="781"/>
      <c r="G551" s="782"/>
    </row>
    <row r="552" spans="1:7" x14ac:dyDescent="0.25">
      <c r="A552" s="507" t="s">
        <v>785</v>
      </c>
      <c r="B552" s="485" t="s">
        <v>786</v>
      </c>
      <c r="C552" s="489" t="s">
        <v>801</v>
      </c>
      <c r="D552" s="490" t="s">
        <v>788</v>
      </c>
      <c r="E552" s="496" t="s">
        <v>789</v>
      </c>
      <c r="F552" s="492" t="s">
        <v>790</v>
      </c>
      <c r="G552" s="509" t="s">
        <v>791</v>
      </c>
    </row>
    <row r="553" spans="1:7" x14ac:dyDescent="0.25">
      <c r="A553" s="515" t="s">
        <v>815</v>
      </c>
      <c r="B553" s="546" t="s">
        <v>808</v>
      </c>
      <c r="C553" s="501" t="str">
        <f>B557</f>
        <v>FECHO PARA FITA AÇO INOX</v>
      </c>
      <c r="D553" s="539" t="s">
        <v>62</v>
      </c>
      <c r="E553" s="498">
        <v>1</v>
      </c>
      <c r="F553" s="540">
        <f>D562</f>
        <v>1.72</v>
      </c>
      <c r="G553" s="514">
        <f>TRUNC(F553*E553,2)</f>
        <v>1.72</v>
      </c>
    </row>
    <row r="554" spans="1:7" x14ac:dyDescent="0.25">
      <c r="A554" s="788" t="s">
        <v>21</v>
      </c>
      <c r="B554" s="789"/>
      <c r="C554" s="789"/>
      <c r="D554" s="789"/>
      <c r="E554" s="789"/>
      <c r="F554" s="789"/>
      <c r="G554" s="511">
        <f>SUM(G553:G553)</f>
        <v>1.72</v>
      </c>
    </row>
    <row r="555" spans="1:7" x14ac:dyDescent="0.25">
      <c r="A555" s="797" t="s">
        <v>796</v>
      </c>
      <c r="B555" s="786"/>
      <c r="C555" s="786"/>
      <c r="D555" s="786"/>
      <c r="E555" s="786"/>
      <c r="F555" s="786"/>
      <c r="G555" s="512">
        <f>G550+G554</f>
        <v>10.200000000000001</v>
      </c>
    </row>
    <row r="556" spans="1:7" x14ac:dyDescent="0.25">
      <c r="A556" s="780"/>
      <c r="B556" s="781"/>
      <c r="C556" s="781"/>
      <c r="D556" s="781"/>
      <c r="E556" s="781"/>
      <c r="F556" s="781"/>
      <c r="G556" s="782"/>
    </row>
    <row r="557" spans="1:7" ht="15" customHeight="1" x14ac:dyDescent="0.25">
      <c r="A557" s="544" t="s">
        <v>809</v>
      </c>
      <c r="B557" s="802" t="s">
        <v>1210</v>
      </c>
      <c r="C557" s="802"/>
      <c r="D557" s="802"/>
      <c r="E557" s="802"/>
      <c r="F557" s="802"/>
      <c r="G557" s="809"/>
    </row>
    <row r="558" spans="1:7" x14ac:dyDescent="0.25">
      <c r="A558" s="545"/>
      <c r="B558" s="728" t="s">
        <v>1247</v>
      </c>
      <c r="C558" s="728"/>
      <c r="D558" s="784" t="s">
        <v>810</v>
      </c>
      <c r="E558" s="784"/>
      <c r="F558" s="541" t="s">
        <v>811</v>
      </c>
      <c r="G558" s="516" t="s">
        <v>1183</v>
      </c>
    </row>
    <row r="559" spans="1:7" ht="15" customHeight="1" x14ac:dyDescent="0.25">
      <c r="A559" s="517">
        <v>44740</v>
      </c>
      <c r="B559" s="775" t="s">
        <v>1358</v>
      </c>
      <c r="C559" s="775"/>
      <c r="D559" s="776">
        <v>1.72</v>
      </c>
      <c r="E559" s="776"/>
      <c r="F559" s="542" t="s">
        <v>1212</v>
      </c>
      <c r="G559" s="518" t="s">
        <v>1359</v>
      </c>
    </row>
    <row r="560" spans="1:7" ht="15" customHeight="1" x14ac:dyDescent="0.25">
      <c r="A560" s="519">
        <v>44741</v>
      </c>
      <c r="B560" s="785" t="s">
        <v>1362</v>
      </c>
      <c r="C560" s="785"/>
      <c r="D560" s="783">
        <v>2.4900000000000002</v>
      </c>
      <c r="E560" s="783"/>
      <c r="F560" s="539" t="s">
        <v>1182</v>
      </c>
      <c r="G560" s="520" t="s">
        <v>1363</v>
      </c>
    </row>
    <row r="561" spans="1:7" ht="15" customHeight="1" x14ac:dyDescent="0.25">
      <c r="A561" s="519">
        <v>44741</v>
      </c>
      <c r="B561" s="785" t="s">
        <v>1248</v>
      </c>
      <c r="C561" s="785"/>
      <c r="D561" s="783">
        <v>1.33</v>
      </c>
      <c r="E561" s="783"/>
      <c r="F561" s="539" t="s">
        <v>1360</v>
      </c>
      <c r="G561" s="520" t="s">
        <v>1361</v>
      </c>
    </row>
    <row r="562" spans="1:7" ht="15" customHeight="1" x14ac:dyDescent="0.25">
      <c r="A562" s="787" t="s">
        <v>812</v>
      </c>
      <c r="B562" s="777"/>
      <c r="C562" s="777"/>
      <c r="D562" s="800">
        <f>MEDIAN(D559:E561)</f>
        <v>1.72</v>
      </c>
      <c r="E562" s="800"/>
      <c r="F562" s="800"/>
      <c r="G562" s="801"/>
    </row>
    <row r="563" spans="1:7" x14ac:dyDescent="0.25">
      <c r="A563" s="780"/>
      <c r="B563" s="781"/>
      <c r="C563" s="781"/>
      <c r="D563" s="781"/>
      <c r="E563" s="781"/>
      <c r="F563" s="781"/>
      <c r="G563" s="782"/>
    </row>
    <row r="564" spans="1:7" x14ac:dyDescent="0.25">
      <c r="A564" s="772" t="s">
        <v>1238</v>
      </c>
      <c r="B564" s="773"/>
      <c r="C564" s="773"/>
      <c r="D564" s="773"/>
      <c r="E564" s="773"/>
      <c r="F564" s="773"/>
      <c r="G564" s="774"/>
    </row>
    <row r="565" spans="1:7" x14ac:dyDescent="0.25">
      <c r="A565" s="772"/>
      <c r="B565" s="773"/>
      <c r="C565" s="773"/>
      <c r="D565" s="773"/>
      <c r="E565" s="773"/>
      <c r="F565" s="773"/>
      <c r="G565" s="774"/>
    </row>
    <row r="566" spans="1:7" x14ac:dyDescent="0.25">
      <c r="A566" s="780"/>
      <c r="B566" s="781"/>
      <c r="C566" s="781"/>
      <c r="D566" s="781"/>
      <c r="E566" s="781"/>
      <c r="F566" s="781"/>
      <c r="G566" s="782"/>
    </row>
    <row r="567" spans="1:7" x14ac:dyDescent="0.25">
      <c r="A567" s="790" t="s">
        <v>1455</v>
      </c>
      <c r="B567" s="791"/>
      <c r="C567" s="798" t="s">
        <v>1211</v>
      </c>
      <c r="D567" s="798"/>
      <c r="E567" s="798"/>
      <c r="F567" s="798"/>
      <c r="G567" s="799"/>
    </row>
    <row r="568" spans="1:7" x14ac:dyDescent="0.25">
      <c r="A568" s="780"/>
      <c r="B568" s="781"/>
      <c r="C568" s="781"/>
      <c r="D568" s="781"/>
      <c r="E568" s="781"/>
      <c r="F568" s="781"/>
      <c r="G568" s="782"/>
    </row>
    <row r="569" spans="1:7" x14ac:dyDescent="0.25">
      <c r="A569" s="507" t="s">
        <v>785</v>
      </c>
      <c r="B569" s="485" t="s">
        <v>786</v>
      </c>
      <c r="C569" s="489" t="s">
        <v>787</v>
      </c>
      <c r="D569" s="490" t="s">
        <v>788</v>
      </c>
      <c r="E569" s="491" t="s">
        <v>789</v>
      </c>
      <c r="F569" s="492" t="s">
        <v>790</v>
      </c>
      <c r="G569" s="509" t="s">
        <v>791</v>
      </c>
    </row>
    <row r="570" spans="1:7" ht="45" x14ac:dyDescent="0.25">
      <c r="A570" s="545">
        <v>100612</v>
      </c>
      <c r="B570" s="546" t="s">
        <v>792</v>
      </c>
      <c r="C570" s="499" t="s">
        <v>1207</v>
      </c>
      <c r="D570" s="542" t="s">
        <v>62</v>
      </c>
      <c r="E570" s="495">
        <v>1</v>
      </c>
      <c r="F570" s="503">
        <v>1036.33</v>
      </c>
      <c r="G570" s="522">
        <f>TRUNC(E570*F570,2)</f>
        <v>1036.33</v>
      </c>
    </row>
    <row r="571" spans="1:7" x14ac:dyDescent="0.25">
      <c r="A571" s="788" t="s">
        <v>21</v>
      </c>
      <c r="B571" s="789"/>
      <c r="C571" s="789"/>
      <c r="D571" s="789"/>
      <c r="E571" s="789"/>
      <c r="F571" s="789"/>
      <c r="G571" s="511">
        <f>SUM(G570:G570)</f>
        <v>1036.33</v>
      </c>
    </row>
    <row r="572" spans="1:7" x14ac:dyDescent="0.25">
      <c r="A572" s="780"/>
      <c r="B572" s="781"/>
      <c r="C572" s="781"/>
      <c r="D572" s="781"/>
      <c r="E572" s="781"/>
      <c r="F572" s="781"/>
      <c r="G572" s="782"/>
    </row>
    <row r="573" spans="1:7" x14ac:dyDescent="0.25">
      <c r="A573" s="507" t="s">
        <v>785</v>
      </c>
      <c r="B573" s="485" t="s">
        <v>786</v>
      </c>
      <c r="C573" s="489" t="s">
        <v>801</v>
      </c>
      <c r="D573" s="490" t="s">
        <v>788</v>
      </c>
      <c r="E573" s="496" t="s">
        <v>789</v>
      </c>
      <c r="F573" s="492" t="s">
        <v>790</v>
      </c>
      <c r="G573" s="509" t="s">
        <v>791</v>
      </c>
    </row>
    <row r="574" spans="1:7" ht="30" x14ac:dyDescent="0.25">
      <c r="A574" s="515">
        <v>41204</v>
      </c>
      <c r="B574" s="497" t="s">
        <v>792</v>
      </c>
      <c r="C574" s="501" t="s">
        <v>1617</v>
      </c>
      <c r="D574" s="539" t="s">
        <v>62</v>
      </c>
      <c r="E574" s="498">
        <v>1</v>
      </c>
      <c r="F574" s="540">
        <v>1800.5</v>
      </c>
      <c r="G574" s="514">
        <f>TRUNC(F574*E574,2)</f>
        <v>1800.5</v>
      </c>
    </row>
    <row r="575" spans="1:7" x14ac:dyDescent="0.25">
      <c r="A575" s="788" t="s">
        <v>21</v>
      </c>
      <c r="B575" s="789"/>
      <c r="C575" s="789"/>
      <c r="D575" s="789"/>
      <c r="E575" s="789"/>
      <c r="F575" s="789"/>
      <c r="G575" s="511">
        <f>SUM(G574:G574)</f>
        <v>1800.5</v>
      </c>
    </row>
    <row r="576" spans="1:7" x14ac:dyDescent="0.25">
      <c r="A576" s="797" t="s">
        <v>796</v>
      </c>
      <c r="B576" s="786"/>
      <c r="C576" s="786"/>
      <c r="D576" s="786"/>
      <c r="E576" s="786"/>
      <c r="F576" s="786"/>
      <c r="G576" s="512">
        <f>G571+G575</f>
        <v>2836.83</v>
      </c>
    </row>
    <row r="577" spans="1:7" x14ac:dyDescent="0.25">
      <c r="A577" s="794"/>
      <c r="B577" s="795"/>
      <c r="C577" s="795"/>
      <c r="D577" s="795"/>
      <c r="E577" s="795"/>
      <c r="F577" s="795"/>
      <c r="G577" s="796"/>
    </row>
    <row r="578" spans="1:7" ht="15" customHeight="1" x14ac:dyDescent="0.25">
      <c r="A578" s="803" t="s">
        <v>1652</v>
      </c>
      <c r="B578" s="804"/>
      <c r="C578" s="804"/>
      <c r="D578" s="804"/>
      <c r="E578" s="804"/>
      <c r="F578" s="804"/>
      <c r="G578" s="805"/>
    </row>
    <row r="579" spans="1:7" x14ac:dyDescent="0.25">
      <c r="A579" s="803"/>
      <c r="B579" s="804"/>
      <c r="C579" s="804"/>
      <c r="D579" s="804"/>
      <c r="E579" s="804"/>
      <c r="F579" s="804"/>
      <c r="G579" s="805"/>
    </row>
    <row r="580" spans="1:7" hidden="1" x14ac:dyDescent="0.25">
      <c r="A580" s="780"/>
      <c r="B580" s="781"/>
      <c r="C580" s="781"/>
      <c r="D580" s="781"/>
      <c r="E580" s="781"/>
      <c r="F580" s="781"/>
      <c r="G580" s="782"/>
    </row>
    <row r="581" spans="1:7" ht="31.5" hidden="1" customHeight="1" x14ac:dyDescent="0.25">
      <c r="A581" s="790" t="s">
        <v>1456</v>
      </c>
      <c r="B581" s="791"/>
      <c r="C581" s="826" t="s">
        <v>1389</v>
      </c>
      <c r="D581" s="826"/>
      <c r="E581" s="826"/>
      <c r="F581" s="826"/>
      <c r="G581" s="827"/>
    </row>
    <row r="582" spans="1:7" hidden="1" x14ac:dyDescent="0.25">
      <c r="A582" s="780"/>
      <c r="B582" s="781"/>
      <c r="C582" s="781"/>
      <c r="D582" s="781"/>
      <c r="E582" s="781"/>
      <c r="F582" s="781"/>
      <c r="G582" s="782"/>
    </row>
    <row r="583" spans="1:7" hidden="1" x14ac:dyDescent="0.25">
      <c r="A583" s="507" t="s">
        <v>785</v>
      </c>
      <c r="B583" s="485" t="s">
        <v>786</v>
      </c>
      <c r="C583" s="489" t="s">
        <v>787</v>
      </c>
      <c r="D583" s="490" t="s">
        <v>788</v>
      </c>
      <c r="E583" s="491" t="s">
        <v>789</v>
      </c>
      <c r="F583" s="492" t="s">
        <v>790</v>
      </c>
      <c r="G583" s="509" t="s">
        <v>791</v>
      </c>
    </row>
    <row r="584" spans="1:7" hidden="1" x14ac:dyDescent="0.25">
      <c r="A584" s="545">
        <v>88247</v>
      </c>
      <c r="B584" s="546" t="s">
        <v>792</v>
      </c>
      <c r="C584" s="499" t="s">
        <v>806</v>
      </c>
      <c r="D584" s="542" t="s">
        <v>799</v>
      </c>
      <c r="E584" s="495">
        <v>9.1</v>
      </c>
      <c r="F584" s="543">
        <v>19.2</v>
      </c>
      <c r="G584" s="514">
        <f>TRUNC(F584*E584,2)</f>
        <v>174.72</v>
      </c>
    </row>
    <row r="585" spans="1:7" hidden="1" x14ac:dyDescent="0.25">
      <c r="A585" s="545">
        <v>88264</v>
      </c>
      <c r="B585" s="546" t="s">
        <v>792</v>
      </c>
      <c r="C585" s="499" t="s">
        <v>807</v>
      </c>
      <c r="D585" s="542" t="s">
        <v>799</v>
      </c>
      <c r="E585" s="495">
        <v>9.1</v>
      </c>
      <c r="F585" s="543">
        <v>23.24</v>
      </c>
      <c r="G585" s="514">
        <f>TRUNC(F585*E585,2)</f>
        <v>211.48</v>
      </c>
    </row>
    <row r="586" spans="1:7" hidden="1" x14ac:dyDescent="0.25">
      <c r="A586" s="545">
        <v>88286</v>
      </c>
      <c r="B586" s="546" t="s">
        <v>792</v>
      </c>
      <c r="C586" s="499" t="s">
        <v>813</v>
      </c>
      <c r="D586" s="542" t="s">
        <v>799</v>
      </c>
      <c r="E586" s="495">
        <v>0.215</v>
      </c>
      <c r="F586" s="503">
        <v>20.63</v>
      </c>
      <c r="G586" s="522">
        <f>TRUNC(E586*F586,2)</f>
        <v>4.43</v>
      </c>
    </row>
    <row r="587" spans="1:7" hidden="1" x14ac:dyDescent="0.25">
      <c r="A587" s="788" t="s">
        <v>21</v>
      </c>
      <c r="B587" s="789"/>
      <c r="C587" s="789"/>
      <c r="D587" s="789"/>
      <c r="E587" s="789"/>
      <c r="F587" s="789"/>
      <c r="G587" s="511">
        <f>SUM(G584:G586)</f>
        <v>390.63</v>
      </c>
    </row>
    <row r="588" spans="1:7" hidden="1" x14ac:dyDescent="0.25">
      <c r="A588" s="780"/>
      <c r="B588" s="781"/>
      <c r="C588" s="781"/>
      <c r="D588" s="781"/>
      <c r="E588" s="781"/>
      <c r="F588" s="781"/>
      <c r="G588" s="782"/>
    </row>
    <row r="589" spans="1:7" hidden="1" x14ac:dyDescent="0.25">
      <c r="A589" s="507" t="s">
        <v>785</v>
      </c>
      <c r="B589" s="485" t="s">
        <v>786</v>
      </c>
      <c r="C589" s="489" t="s">
        <v>816</v>
      </c>
      <c r="D589" s="490" t="s">
        <v>788</v>
      </c>
      <c r="E589" s="491" t="s">
        <v>789</v>
      </c>
      <c r="F589" s="492" t="s">
        <v>790</v>
      </c>
      <c r="G589" s="509" t="s">
        <v>791</v>
      </c>
    </row>
    <row r="590" spans="1:7" ht="45" hidden="1" x14ac:dyDescent="0.25">
      <c r="A590" s="545">
        <v>5928</v>
      </c>
      <c r="B590" s="546" t="s">
        <v>792</v>
      </c>
      <c r="C590" s="499" t="s">
        <v>814</v>
      </c>
      <c r="D590" s="542" t="s">
        <v>799</v>
      </c>
      <c r="E590" s="495">
        <v>0.215</v>
      </c>
      <c r="F590" s="543">
        <v>295.87</v>
      </c>
      <c r="G590" s="514">
        <f>TRUNC(F590*E590,2)</f>
        <v>63.61</v>
      </c>
    </row>
    <row r="591" spans="1:7" hidden="1" x14ac:dyDescent="0.25">
      <c r="A591" s="788" t="s">
        <v>21</v>
      </c>
      <c r="B591" s="789"/>
      <c r="C591" s="789"/>
      <c r="D591" s="789"/>
      <c r="E591" s="789"/>
      <c r="F591" s="789"/>
      <c r="G591" s="511">
        <f>SUM(G590:G590)</f>
        <v>63.61</v>
      </c>
    </row>
    <row r="592" spans="1:7" hidden="1" x14ac:dyDescent="0.25">
      <c r="A592" s="780"/>
      <c r="B592" s="781"/>
      <c r="C592" s="781"/>
      <c r="D592" s="781"/>
      <c r="E592" s="781"/>
      <c r="F592" s="781"/>
      <c r="G592" s="782"/>
    </row>
    <row r="593" spans="1:7" hidden="1" x14ac:dyDescent="0.25">
      <c r="A593" s="507" t="s">
        <v>785</v>
      </c>
      <c r="B593" s="485" t="s">
        <v>786</v>
      </c>
      <c r="C593" s="489" t="s">
        <v>801</v>
      </c>
      <c r="D593" s="490" t="s">
        <v>788</v>
      </c>
      <c r="E593" s="496" t="s">
        <v>789</v>
      </c>
      <c r="F593" s="492" t="s">
        <v>790</v>
      </c>
      <c r="G593" s="509" t="s">
        <v>791</v>
      </c>
    </row>
    <row r="594" spans="1:7" ht="45" hidden="1" x14ac:dyDescent="0.25">
      <c r="A594" s="515">
        <v>102103</v>
      </c>
      <c r="B594" s="546" t="s">
        <v>817</v>
      </c>
      <c r="C594" s="501" t="s">
        <v>1389</v>
      </c>
      <c r="D594" s="539" t="s">
        <v>275</v>
      </c>
      <c r="E594" s="498">
        <v>1</v>
      </c>
      <c r="F594" s="540">
        <v>19087.310000000001</v>
      </c>
      <c r="G594" s="514">
        <f>TRUNC(F594*E594,2)</f>
        <v>19087.310000000001</v>
      </c>
    </row>
    <row r="595" spans="1:7" hidden="1" x14ac:dyDescent="0.25">
      <c r="A595" s="788" t="s">
        <v>21</v>
      </c>
      <c r="B595" s="789"/>
      <c r="C595" s="789"/>
      <c r="D595" s="789"/>
      <c r="E595" s="789"/>
      <c r="F595" s="789"/>
      <c r="G595" s="511">
        <f>SUM(G594:G594)</f>
        <v>19087.310000000001</v>
      </c>
    </row>
    <row r="596" spans="1:7" hidden="1" x14ac:dyDescent="0.25">
      <c r="A596" s="797" t="s">
        <v>796</v>
      </c>
      <c r="B596" s="786"/>
      <c r="C596" s="786"/>
      <c r="D596" s="786"/>
      <c r="E596" s="786"/>
      <c r="F596" s="786"/>
      <c r="G596" s="512">
        <f>G587+G591+G595</f>
        <v>19541.550000000003</v>
      </c>
    </row>
    <row r="597" spans="1:7" hidden="1" x14ac:dyDescent="0.25">
      <c r="A597" s="780"/>
      <c r="B597" s="781"/>
      <c r="C597" s="781"/>
      <c r="D597" s="781"/>
      <c r="E597" s="781"/>
      <c r="F597" s="781"/>
      <c r="G597" s="782"/>
    </row>
    <row r="598" spans="1:7" hidden="1" x14ac:dyDescent="0.25">
      <c r="A598" s="772" t="s">
        <v>1653</v>
      </c>
      <c r="B598" s="773"/>
      <c r="C598" s="773"/>
      <c r="D598" s="773"/>
      <c r="E598" s="773"/>
      <c r="F598" s="773"/>
      <c r="G598" s="774"/>
    </row>
    <row r="599" spans="1:7" hidden="1" x14ac:dyDescent="0.25">
      <c r="A599" s="772"/>
      <c r="B599" s="773"/>
      <c r="C599" s="773"/>
      <c r="D599" s="773"/>
      <c r="E599" s="773"/>
      <c r="F599" s="773"/>
      <c r="G599" s="774"/>
    </row>
    <row r="600" spans="1:7" x14ac:dyDescent="0.25">
      <c r="A600" s="780"/>
      <c r="B600" s="781"/>
      <c r="C600" s="781"/>
      <c r="D600" s="781"/>
      <c r="E600" s="781"/>
      <c r="F600" s="781"/>
      <c r="G600" s="782"/>
    </row>
    <row r="601" spans="1:7" hidden="1" x14ac:dyDescent="0.25">
      <c r="A601" s="790" t="s">
        <v>1457</v>
      </c>
      <c r="B601" s="791"/>
      <c r="C601" s="798" t="str">
        <f>C609</f>
        <v>GANCHO OLHAL EM ACO GALVANIZADO, ESPESSURA 16MM, ABERTURA 21MM</v>
      </c>
      <c r="D601" s="798"/>
      <c r="E601" s="798"/>
      <c r="F601" s="798"/>
      <c r="G601" s="799"/>
    </row>
    <row r="602" spans="1:7" hidden="1" x14ac:dyDescent="0.25">
      <c r="A602" s="780"/>
      <c r="B602" s="781"/>
      <c r="C602" s="781"/>
      <c r="D602" s="781"/>
      <c r="E602" s="781"/>
      <c r="F602" s="781"/>
      <c r="G602" s="782"/>
    </row>
    <row r="603" spans="1:7" hidden="1" x14ac:dyDescent="0.25">
      <c r="A603" s="507" t="s">
        <v>785</v>
      </c>
      <c r="B603" s="485" t="s">
        <v>786</v>
      </c>
      <c r="C603" s="489" t="s">
        <v>787</v>
      </c>
      <c r="D603" s="490" t="s">
        <v>788</v>
      </c>
      <c r="E603" s="491" t="s">
        <v>789</v>
      </c>
      <c r="F603" s="492" t="s">
        <v>790</v>
      </c>
      <c r="G603" s="509" t="s">
        <v>791</v>
      </c>
    </row>
    <row r="604" spans="1:7" hidden="1" x14ac:dyDescent="0.25">
      <c r="A604" s="545">
        <v>88247</v>
      </c>
      <c r="B604" s="546" t="s">
        <v>792</v>
      </c>
      <c r="C604" s="499" t="s">
        <v>806</v>
      </c>
      <c r="D604" s="542" t="s">
        <v>799</v>
      </c>
      <c r="E604" s="495">
        <v>0.5</v>
      </c>
      <c r="F604" s="543">
        <v>19.2</v>
      </c>
      <c r="G604" s="514">
        <f>TRUNC(F604*E604,2)</f>
        <v>9.6</v>
      </c>
    </row>
    <row r="605" spans="1:7" hidden="1" x14ac:dyDescent="0.25">
      <c r="A605" s="545">
        <v>88264</v>
      </c>
      <c r="B605" s="546" t="s">
        <v>792</v>
      </c>
      <c r="C605" s="499" t="s">
        <v>807</v>
      </c>
      <c r="D605" s="542" t="s">
        <v>799</v>
      </c>
      <c r="E605" s="495">
        <v>0.5</v>
      </c>
      <c r="F605" s="543">
        <v>23.24</v>
      </c>
      <c r="G605" s="514">
        <f>TRUNC(F605*E605,2)</f>
        <v>11.62</v>
      </c>
    </row>
    <row r="606" spans="1:7" hidden="1" x14ac:dyDescent="0.25">
      <c r="A606" s="788" t="s">
        <v>21</v>
      </c>
      <c r="B606" s="789"/>
      <c r="C606" s="789"/>
      <c r="D606" s="789"/>
      <c r="E606" s="789"/>
      <c r="F606" s="789"/>
      <c r="G606" s="511">
        <f>SUM(G604:G605)</f>
        <v>21.22</v>
      </c>
    </row>
    <row r="607" spans="1:7" hidden="1" x14ac:dyDescent="0.25">
      <c r="A607" s="780"/>
      <c r="B607" s="781"/>
      <c r="C607" s="781"/>
      <c r="D607" s="781"/>
      <c r="E607" s="781"/>
      <c r="F607" s="781"/>
      <c r="G607" s="782"/>
    </row>
    <row r="608" spans="1:7" hidden="1" x14ac:dyDescent="0.25">
      <c r="A608" s="507" t="s">
        <v>785</v>
      </c>
      <c r="B608" s="485" t="s">
        <v>786</v>
      </c>
      <c r="C608" s="489" t="s">
        <v>801</v>
      </c>
      <c r="D608" s="490" t="s">
        <v>788</v>
      </c>
      <c r="E608" s="496" t="s">
        <v>789</v>
      </c>
      <c r="F608" s="492" t="s">
        <v>790</v>
      </c>
      <c r="G608" s="509" t="s">
        <v>791</v>
      </c>
    </row>
    <row r="609" spans="1:7" hidden="1" x14ac:dyDescent="0.25">
      <c r="A609" s="545">
        <v>402</v>
      </c>
      <c r="B609" s="546" t="s">
        <v>817</v>
      </c>
      <c r="C609" s="499" t="s">
        <v>824</v>
      </c>
      <c r="D609" s="539" t="s">
        <v>62</v>
      </c>
      <c r="E609" s="498">
        <v>1</v>
      </c>
      <c r="F609" s="540">
        <v>17.260000000000002</v>
      </c>
      <c r="G609" s="510">
        <f t="shared" ref="G609" si="15">TRUNC(E609*F609,2)</f>
        <v>17.260000000000002</v>
      </c>
    </row>
    <row r="610" spans="1:7" hidden="1" x14ac:dyDescent="0.25">
      <c r="A610" s="788" t="s">
        <v>21</v>
      </c>
      <c r="B610" s="789"/>
      <c r="C610" s="789"/>
      <c r="D610" s="789"/>
      <c r="E610" s="789"/>
      <c r="F610" s="789"/>
      <c r="G610" s="511">
        <f>SUM(G609:G609)</f>
        <v>17.260000000000002</v>
      </c>
    </row>
    <row r="611" spans="1:7" hidden="1" x14ac:dyDescent="0.25">
      <c r="A611" s="797" t="s">
        <v>796</v>
      </c>
      <c r="B611" s="786"/>
      <c r="C611" s="786"/>
      <c r="D611" s="786"/>
      <c r="E611" s="786"/>
      <c r="F611" s="786"/>
      <c r="G611" s="512">
        <f>G606+G610</f>
        <v>38.480000000000004</v>
      </c>
    </row>
    <row r="612" spans="1:7" ht="15.75" hidden="1" customHeight="1" x14ac:dyDescent="0.25">
      <c r="A612" s="780"/>
      <c r="B612" s="781"/>
      <c r="C612" s="781"/>
      <c r="D612" s="781"/>
      <c r="E612" s="781"/>
      <c r="F612" s="781"/>
      <c r="G612" s="782"/>
    </row>
    <row r="613" spans="1:7" hidden="1" x14ac:dyDescent="0.25">
      <c r="A613" s="772" t="s">
        <v>1221</v>
      </c>
      <c r="B613" s="773"/>
      <c r="C613" s="773"/>
      <c r="D613" s="773"/>
      <c r="E613" s="773"/>
      <c r="F613" s="773"/>
      <c r="G613" s="774"/>
    </row>
    <row r="614" spans="1:7" hidden="1" x14ac:dyDescent="0.25">
      <c r="A614" s="772"/>
      <c r="B614" s="773"/>
      <c r="C614" s="773"/>
      <c r="D614" s="773"/>
      <c r="E614" s="773"/>
      <c r="F614" s="773"/>
      <c r="G614" s="774"/>
    </row>
    <row r="615" spans="1:7" hidden="1" x14ac:dyDescent="0.25">
      <c r="A615" s="780"/>
      <c r="B615" s="781"/>
      <c r="C615" s="781"/>
      <c r="D615" s="781"/>
      <c r="E615" s="781"/>
      <c r="F615" s="781"/>
      <c r="G615" s="782"/>
    </row>
    <row r="616" spans="1:7" hidden="1" x14ac:dyDescent="0.25">
      <c r="A616" s="790" t="s">
        <v>1458</v>
      </c>
      <c r="B616" s="791"/>
      <c r="C616" s="798" t="str">
        <f>C624</f>
        <v>SAPATILHA EM ACO GALVANIZADO PARA CABOS COM DIAMETRO NOMINAL ATE 5/8"</v>
      </c>
      <c r="D616" s="798"/>
      <c r="E616" s="798"/>
      <c r="F616" s="798"/>
      <c r="G616" s="799"/>
    </row>
    <row r="617" spans="1:7" hidden="1" x14ac:dyDescent="0.25">
      <c r="A617" s="780"/>
      <c r="B617" s="781"/>
      <c r="C617" s="781"/>
      <c r="D617" s="781"/>
      <c r="E617" s="781"/>
      <c r="F617" s="781"/>
      <c r="G617" s="782"/>
    </row>
    <row r="618" spans="1:7" hidden="1" x14ac:dyDescent="0.25">
      <c r="A618" s="507" t="s">
        <v>785</v>
      </c>
      <c r="B618" s="485" t="s">
        <v>786</v>
      </c>
      <c r="C618" s="489" t="s">
        <v>787</v>
      </c>
      <c r="D618" s="490" t="s">
        <v>788</v>
      </c>
      <c r="E618" s="491" t="s">
        <v>789</v>
      </c>
      <c r="F618" s="492" t="s">
        <v>790</v>
      </c>
      <c r="G618" s="509" t="s">
        <v>791</v>
      </c>
    </row>
    <row r="619" spans="1:7" hidden="1" x14ac:dyDescent="0.25">
      <c r="A619" s="545">
        <v>88247</v>
      </c>
      <c r="B619" s="546" t="s">
        <v>792</v>
      </c>
      <c r="C619" s="499" t="s">
        <v>806</v>
      </c>
      <c r="D619" s="542" t="s">
        <v>799</v>
      </c>
      <c r="E619" s="495">
        <v>0.15</v>
      </c>
      <c r="F619" s="543">
        <v>19.2</v>
      </c>
      <c r="G619" s="514">
        <f>TRUNC(F619*E619,2)</f>
        <v>2.88</v>
      </c>
    </row>
    <row r="620" spans="1:7" hidden="1" x14ac:dyDescent="0.25">
      <c r="A620" s="545">
        <v>88264</v>
      </c>
      <c r="B620" s="546" t="s">
        <v>792</v>
      </c>
      <c r="C620" s="499" t="s">
        <v>807</v>
      </c>
      <c r="D620" s="542" t="s">
        <v>799</v>
      </c>
      <c r="E620" s="495">
        <v>0.15</v>
      </c>
      <c r="F620" s="543">
        <v>23.24</v>
      </c>
      <c r="G620" s="514">
        <f>TRUNC(F620*E620,2)</f>
        <v>3.48</v>
      </c>
    </row>
    <row r="621" spans="1:7" hidden="1" x14ac:dyDescent="0.25">
      <c r="A621" s="788" t="s">
        <v>21</v>
      </c>
      <c r="B621" s="789"/>
      <c r="C621" s="789"/>
      <c r="D621" s="789"/>
      <c r="E621" s="789"/>
      <c r="F621" s="789"/>
      <c r="G621" s="511">
        <f>SUM(G619:G620)</f>
        <v>6.3599999999999994</v>
      </c>
    </row>
    <row r="622" spans="1:7" hidden="1" x14ac:dyDescent="0.25">
      <c r="A622" s="780"/>
      <c r="B622" s="781"/>
      <c r="C622" s="781"/>
      <c r="D622" s="781"/>
      <c r="E622" s="781"/>
      <c r="F622" s="781"/>
      <c r="G622" s="782"/>
    </row>
    <row r="623" spans="1:7" hidden="1" x14ac:dyDescent="0.25">
      <c r="A623" s="507" t="s">
        <v>785</v>
      </c>
      <c r="B623" s="485" t="s">
        <v>786</v>
      </c>
      <c r="C623" s="489" t="s">
        <v>801</v>
      </c>
      <c r="D623" s="490" t="s">
        <v>788</v>
      </c>
      <c r="E623" s="496" t="s">
        <v>789</v>
      </c>
      <c r="F623" s="492" t="s">
        <v>790</v>
      </c>
      <c r="G623" s="509" t="s">
        <v>791</v>
      </c>
    </row>
    <row r="624" spans="1:7" hidden="1" x14ac:dyDescent="0.25">
      <c r="A624" s="545">
        <v>7581</v>
      </c>
      <c r="B624" s="546" t="s">
        <v>817</v>
      </c>
      <c r="C624" s="499" t="s">
        <v>819</v>
      </c>
      <c r="D624" s="539" t="s">
        <v>62</v>
      </c>
      <c r="E624" s="498">
        <v>1</v>
      </c>
      <c r="F624" s="540">
        <v>4.9000000000000004</v>
      </c>
      <c r="G624" s="510">
        <f t="shared" ref="G624" si="16">TRUNC(E624*F624,2)</f>
        <v>4.9000000000000004</v>
      </c>
    </row>
    <row r="625" spans="1:7" hidden="1" x14ac:dyDescent="0.25">
      <c r="A625" s="788" t="s">
        <v>21</v>
      </c>
      <c r="B625" s="789"/>
      <c r="C625" s="789"/>
      <c r="D625" s="789"/>
      <c r="E625" s="789"/>
      <c r="F625" s="789"/>
      <c r="G625" s="511">
        <f>SUM(G624:G624)</f>
        <v>4.9000000000000004</v>
      </c>
    </row>
    <row r="626" spans="1:7" hidden="1" x14ac:dyDescent="0.25">
      <c r="A626" s="797" t="s">
        <v>796</v>
      </c>
      <c r="B626" s="786"/>
      <c r="C626" s="786"/>
      <c r="D626" s="786"/>
      <c r="E626" s="786"/>
      <c r="F626" s="786"/>
      <c r="G626" s="512">
        <f>G621+G625</f>
        <v>11.26</v>
      </c>
    </row>
    <row r="627" spans="1:7" ht="15.75" hidden="1" customHeight="1" x14ac:dyDescent="0.25">
      <c r="A627" s="780"/>
      <c r="B627" s="781"/>
      <c r="C627" s="781"/>
      <c r="D627" s="781"/>
      <c r="E627" s="781"/>
      <c r="F627" s="781"/>
      <c r="G627" s="782"/>
    </row>
    <row r="628" spans="1:7" hidden="1" x14ac:dyDescent="0.25">
      <c r="A628" s="772" t="s">
        <v>1222</v>
      </c>
      <c r="B628" s="773"/>
      <c r="C628" s="773"/>
      <c r="D628" s="773"/>
      <c r="E628" s="773"/>
      <c r="F628" s="773"/>
      <c r="G628" s="774"/>
    </row>
    <row r="629" spans="1:7" hidden="1" x14ac:dyDescent="0.25">
      <c r="A629" s="772"/>
      <c r="B629" s="773"/>
      <c r="C629" s="773"/>
      <c r="D629" s="773"/>
      <c r="E629" s="773"/>
      <c r="F629" s="773"/>
      <c r="G629" s="774"/>
    </row>
    <row r="630" spans="1:7" hidden="1" x14ac:dyDescent="0.25">
      <c r="A630" s="780"/>
      <c r="B630" s="781"/>
      <c r="C630" s="781"/>
      <c r="D630" s="781"/>
      <c r="E630" s="781"/>
      <c r="F630" s="781"/>
      <c r="G630" s="782"/>
    </row>
    <row r="631" spans="1:7" x14ac:dyDescent="0.25">
      <c r="A631" s="790" t="s">
        <v>1459</v>
      </c>
      <c r="B631" s="791"/>
      <c r="C631" s="798" t="str">
        <f>C639</f>
        <v>ARRUELA QUADRADA EM ACO GALVANIZADO, DIMENSAO = 38 MM, ESPESSURA = 3MM, DIAMETRO DO FURO= 18 MM</v>
      </c>
      <c r="D631" s="798"/>
      <c r="E631" s="798"/>
      <c r="F631" s="798"/>
      <c r="G631" s="799"/>
    </row>
    <row r="632" spans="1:7" x14ac:dyDescent="0.25">
      <c r="A632" s="780"/>
      <c r="B632" s="781"/>
      <c r="C632" s="781"/>
      <c r="D632" s="781"/>
      <c r="E632" s="781"/>
      <c r="F632" s="781"/>
      <c r="G632" s="782"/>
    </row>
    <row r="633" spans="1:7" x14ac:dyDescent="0.25">
      <c r="A633" s="507" t="s">
        <v>785</v>
      </c>
      <c r="B633" s="485" t="s">
        <v>786</v>
      </c>
      <c r="C633" s="489" t="s">
        <v>787</v>
      </c>
      <c r="D633" s="490" t="s">
        <v>788</v>
      </c>
      <c r="E633" s="491" t="s">
        <v>789</v>
      </c>
      <c r="F633" s="492" t="s">
        <v>790</v>
      </c>
      <c r="G633" s="509" t="s">
        <v>791</v>
      </c>
    </row>
    <row r="634" spans="1:7" x14ac:dyDescent="0.25">
      <c r="A634" s="545">
        <v>88247</v>
      </c>
      <c r="B634" s="546" t="s">
        <v>792</v>
      </c>
      <c r="C634" s="499" t="s">
        <v>806</v>
      </c>
      <c r="D634" s="542" t="s">
        <v>799</v>
      </c>
      <c r="E634" s="495">
        <v>0.01</v>
      </c>
      <c r="F634" s="543">
        <v>19.2</v>
      </c>
      <c r="G634" s="514">
        <f>TRUNC(F634*E634,2)</f>
        <v>0.19</v>
      </c>
    </row>
    <row r="635" spans="1:7" x14ac:dyDescent="0.25">
      <c r="A635" s="545">
        <v>88264</v>
      </c>
      <c r="B635" s="546" t="s">
        <v>792</v>
      </c>
      <c r="C635" s="499" t="s">
        <v>807</v>
      </c>
      <c r="D635" s="542" t="s">
        <v>799</v>
      </c>
      <c r="E635" s="495">
        <v>0.01</v>
      </c>
      <c r="F635" s="543">
        <v>23.24</v>
      </c>
      <c r="G635" s="514">
        <f>TRUNC(F635*E635,2)</f>
        <v>0.23</v>
      </c>
    </row>
    <row r="636" spans="1:7" x14ac:dyDescent="0.25">
      <c r="A636" s="788" t="s">
        <v>21</v>
      </c>
      <c r="B636" s="789"/>
      <c r="C636" s="789"/>
      <c r="D636" s="789"/>
      <c r="E636" s="789"/>
      <c r="F636" s="789"/>
      <c r="G636" s="511">
        <f>SUM(G634:G635)</f>
        <v>0.42000000000000004</v>
      </c>
    </row>
    <row r="637" spans="1:7" x14ac:dyDescent="0.25">
      <c r="A637" s="780"/>
      <c r="B637" s="781"/>
      <c r="C637" s="781"/>
      <c r="D637" s="781"/>
      <c r="E637" s="781"/>
      <c r="F637" s="781"/>
      <c r="G637" s="782"/>
    </row>
    <row r="638" spans="1:7" x14ac:dyDescent="0.25">
      <c r="A638" s="507" t="s">
        <v>785</v>
      </c>
      <c r="B638" s="485" t="s">
        <v>786</v>
      </c>
      <c r="C638" s="489" t="s">
        <v>801</v>
      </c>
      <c r="D638" s="490" t="s">
        <v>788</v>
      </c>
      <c r="E638" s="496" t="s">
        <v>789</v>
      </c>
      <c r="F638" s="492" t="s">
        <v>790</v>
      </c>
      <c r="G638" s="509" t="s">
        <v>791</v>
      </c>
    </row>
    <row r="639" spans="1:7" ht="30" x14ac:dyDescent="0.25">
      <c r="A639" s="545">
        <v>379</v>
      </c>
      <c r="B639" s="546" t="s">
        <v>817</v>
      </c>
      <c r="C639" s="499" t="s">
        <v>818</v>
      </c>
      <c r="D639" s="539" t="s">
        <v>62</v>
      </c>
      <c r="E639" s="498">
        <v>1</v>
      </c>
      <c r="F639" s="540">
        <v>1.1200000000000001</v>
      </c>
      <c r="G639" s="510">
        <f>TRUNC(E639*F639,2)</f>
        <v>1.1200000000000001</v>
      </c>
    </row>
    <row r="640" spans="1:7" x14ac:dyDescent="0.25">
      <c r="A640" s="788" t="s">
        <v>21</v>
      </c>
      <c r="B640" s="789"/>
      <c r="C640" s="789"/>
      <c r="D640" s="789"/>
      <c r="E640" s="789"/>
      <c r="F640" s="789"/>
      <c r="G640" s="511">
        <f>SUM(G639:G639)</f>
        <v>1.1200000000000001</v>
      </c>
    </row>
    <row r="641" spans="1:7" x14ac:dyDescent="0.25">
      <c r="A641" s="797" t="s">
        <v>796</v>
      </c>
      <c r="B641" s="786"/>
      <c r="C641" s="786"/>
      <c r="D641" s="786"/>
      <c r="E641" s="786"/>
      <c r="F641" s="786"/>
      <c r="G641" s="512">
        <f>G636+G640</f>
        <v>1.54</v>
      </c>
    </row>
    <row r="642" spans="1:7" ht="15.75" customHeight="1" x14ac:dyDescent="0.25">
      <c r="A642" s="780"/>
      <c r="B642" s="781"/>
      <c r="C642" s="781"/>
      <c r="D642" s="781"/>
      <c r="E642" s="781"/>
      <c r="F642" s="781"/>
      <c r="G642" s="782"/>
    </row>
    <row r="643" spans="1:7" x14ac:dyDescent="0.25">
      <c r="A643" s="772" t="s">
        <v>1216</v>
      </c>
      <c r="B643" s="773"/>
      <c r="C643" s="773"/>
      <c r="D643" s="773"/>
      <c r="E643" s="773"/>
      <c r="F643" s="773"/>
      <c r="G643" s="774"/>
    </row>
    <row r="644" spans="1:7" x14ac:dyDescent="0.25">
      <c r="A644" s="772"/>
      <c r="B644" s="773"/>
      <c r="C644" s="773"/>
      <c r="D644" s="773"/>
      <c r="E644" s="773"/>
      <c r="F644" s="773"/>
      <c r="G644" s="774"/>
    </row>
    <row r="645" spans="1:7" x14ac:dyDescent="0.25">
      <c r="A645" s="780"/>
      <c r="B645" s="781"/>
      <c r="C645" s="781"/>
      <c r="D645" s="781"/>
      <c r="E645" s="781"/>
      <c r="F645" s="781"/>
      <c r="G645" s="782"/>
    </row>
    <row r="646" spans="1:7" ht="33" customHeight="1" x14ac:dyDescent="0.25">
      <c r="A646" s="790" t="s">
        <v>1460</v>
      </c>
      <c r="B646" s="791"/>
      <c r="C646" s="826" t="str">
        <f>C654</f>
        <v>PARAFUSO M16 EM ACO GALVANIZADO, COMPRIMENTO = 150 MM, DIAMETRO = 16 MM, ROSCA MAQUINA, CABECA QUADRADA</v>
      </c>
      <c r="D646" s="826"/>
      <c r="E646" s="826"/>
      <c r="F646" s="826"/>
      <c r="G646" s="827"/>
    </row>
    <row r="647" spans="1:7" x14ac:dyDescent="0.25">
      <c r="A647" s="780"/>
      <c r="B647" s="781"/>
      <c r="C647" s="781"/>
      <c r="D647" s="781"/>
      <c r="E647" s="781"/>
      <c r="F647" s="781"/>
      <c r="G647" s="782"/>
    </row>
    <row r="648" spans="1:7" x14ac:dyDescent="0.25">
      <c r="A648" s="507" t="s">
        <v>785</v>
      </c>
      <c r="B648" s="485" t="s">
        <v>786</v>
      </c>
      <c r="C648" s="489" t="s">
        <v>787</v>
      </c>
      <c r="D648" s="490" t="s">
        <v>788</v>
      </c>
      <c r="E648" s="491" t="s">
        <v>789</v>
      </c>
      <c r="F648" s="492" t="s">
        <v>790</v>
      </c>
      <c r="G648" s="509" t="s">
        <v>791</v>
      </c>
    </row>
    <row r="649" spans="1:7" x14ac:dyDescent="0.25">
      <c r="A649" s="545">
        <v>88247</v>
      </c>
      <c r="B649" s="546" t="s">
        <v>792</v>
      </c>
      <c r="C649" s="499" t="s">
        <v>806</v>
      </c>
      <c r="D649" s="542" t="s">
        <v>799</v>
      </c>
      <c r="E649" s="495">
        <v>0.08</v>
      </c>
      <c r="F649" s="543">
        <v>19.2</v>
      </c>
      <c r="G649" s="514">
        <f>TRUNC(F649*E649,2)</f>
        <v>1.53</v>
      </c>
    </row>
    <row r="650" spans="1:7" x14ac:dyDescent="0.25">
      <c r="A650" s="545">
        <v>88264</v>
      </c>
      <c r="B650" s="546" t="s">
        <v>792</v>
      </c>
      <c r="C650" s="499" t="s">
        <v>807</v>
      </c>
      <c r="D650" s="542" t="s">
        <v>799</v>
      </c>
      <c r="E650" s="495">
        <v>0.08</v>
      </c>
      <c r="F650" s="543">
        <v>23.24</v>
      </c>
      <c r="G650" s="514">
        <f>TRUNC(F650*E650,2)</f>
        <v>1.85</v>
      </c>
    </row>
    <row r="651" spans="1:7" x14ac:dyDescent="0.25">
      <c r="A651" s="788" t="s">
        <v>21</v>
      </c>
      <c r="B651" s="789"/>
      <c r="C651" s="789"/>
      <c r="D651" s="789"/>
      <c r="E651" s="789"/>
      <c r="F651" s="789"/>
      <c r="G651" s="511">
        <f>SUM(G649:G650)</f>
        <v>3.38</v>
      </c>
    </row>
    <row r="652" spans="1:7" x14ac:dyDescent="0.25">
      <c r="A652" s="780"/>
      <c r="B652" s="781"/>
      <c r="C652" s="781"/>
      <c r="D652" s="781"/>
      <c r="E652" s="781"/>
      <c r="F652" s="781"/>
      <c r="G652" s="782"/>
    </row>
    <row r="653" spans="1:7" x14ac:dyDescent="0.25">
      <c r="A653" s="507" t="s">
        <v>785</v>
      </c>
      <c r="B653" s="485" t="s">
        <v>786</v>
      </c>
      <c r="C653" s="489" t="s">
        <v>801</v>
      </c>
      <c r="D653" s="490" t="s">
        <v>788</v>
      </c>
      <c r="E653" s="496" t="s">
        <v>789</v>
      </c>
      <c r="F653" s="492" t="s">
        <v>790</v>
      </c>
      <c r="G653" s="509" t="s">
        <v>791</v>
      </c>
    </row>
    <row r="654" spans="1:7" ht="30" x14ac:dyDescent="0.25">
      <c r="A654" s="545">
        <v>441</v>
      </c>
      <c r="B654" s="546" t="s">
        <v>817</v>
      </c>
      <c r="C654" s="499" t="s">
        <v>1198</v>
      </c>
      <c r="D654" s="539" t="s">
        <v>62</v>
      </c>
      <c r="E654" s="498">
        <v>1</v>
      </c>
      <c r="F654" s="540">
        <v>9.3000000000000007</v>
      </c>
      <c r="G654" s="510">
        <f t="shared" ref="G654" si="17">TRUNC(E654*F654,2)</f>
        <v>9.3000000000000007</v>
      </c>
    </row>
    <row r="655" spans="1:7" x14ac:dyDescent="0.25">
      <c r="A655" s="788" t="s">
        <v>21</v>
      </c>
      <c r="B655" s="789"/>
      <c r="C655" s="789"/>
      <c r="D655" s="789"/>
      <c r="E655" s="789"/>
      <c r="F655" s="789"/>
      <c r="G655" s="511">
        <f>SUM(G654:G654)</f>
        <v>9.3000000000000007</v>
      </c>
    </row>
    <row r="656" spans="1:7" x14ac:dyDescent="0.25">
      <c r="A656" s="797" t="s">
        <v>796</v>
      </c>
      <c r="B656" s="786"/>
      <c r="C656" s="786"/>
      <c r="D656" s="786"/>
      <c r="E656" s="786"/>
      <c r="F656" s="786"/>
      <c r="G656" s="512">
        <f>G651+G655</f>
        <v>12.68</v>
      </c>
    </row>
    <row r="657" spans="1:7" ht="15.75" customHeight="1" x14ac:dyDescent="0.25">
      <c r="A657" s="780"/>
      <c r="B657" s="781"/>
      <c r="C657" s="781"/>
      <c r="D657" s="781"/>
      <c r="E657" s="781"/>
      <c r="F657" s="781"/>
      <c r="G657" s="782"/>
    </row>
    <row r="658" spans="1:7" x14ac:dyDescent="0.25">
      <c r="A658" s="772" t="s">
        <v>1215</v>
      </c>
      <c r="B658" s="773"/>
      <c r="C658" s="773"/>
      <c r="D658" s="773"/>
      <c r="E658" s="773"/>
      <c r="F658" s="773"/>
      <c r="G658" s="774"/>
    </row>
    <row r="659" spans="1:7" x14ac:dyDescent="0.25">
      <c r="A659" s="772"/>
      <c r="B659" s="773"/>
      <c r="C659" s="773"/>
      <c r="D659" s="773"/>
      <c r="E659" s="773"/>
      <c r="F659" s="773"/>
      <c r="G659" s="774"/>
    </row>
    <row r="660" spans="1:7" x14ac:dyDescent="0.25">
      <c r="A660" s="780"/>
      <c r="B660" s="781"/>
      <c r="C660" s="781"/>
      <c r="D660" s="781"/>
      <c r="E660" s="781"/>
      <c r="F660" s="781"/>
      <c r="G660" s="782"/>
    </row>
    <row r="661" spans="1:7" x14ac:dyDescent="0.25">
      <c r="A661" s="790" t="s">
        <v>1461</v>
      </c>
      <c r="B661" s="791"/>
      <c r="C661" s="798" t="str">
        <f>C669</f>
        <v>PARAFUSO FRANCES M16 EM ACO GALVANIZADO, COMPRIMENTO = 45 MM, DIAMETRO = 16MM, CABECA ABAULADA</v>
      </c>
      <c r="D661" s="798"/>
      <c r="E661" s="798"/>
      <c r="F661" s="798"/>
      <c r="G661" s="799"/>
    </row>
    <row r="662" spans="1:7" x14ac:dyDescent="0.25">
      <c r="A662" s="780"/>
      <c r="B662" s="781"/>
      <c r="C662" s="781"/>
      <c r="D662" s="781"/>
      <c r="E662" s="781"/>
      <c r="F662" s="781"/>
      <c r="G662" s="782"/>
    </row>
    <row r="663" spans="1:7" x14ac:dyDescent="0.25">
      <c r="A663" s="507" t="s">
        <v>785</v>
      </c>
      <c r="B663" s="485" t="s">
        <v>786</v>
      </c>
      <c r="C663" s="489" t="s">
        <v>787</v>
      </c>
      <c r="D663" s="490" t="s">
        <v>788</v>
      </c>
      <c r="E663" s="491" t="s">
        <v>789</v>
      </c>
      <c r="F663" s="492" t="s">
        <v>790</v>
      </c>
      <c r="G663" s="509" t="s">
        <v>791</v>
      </c>
    </row>
    <row r="664" spans="1:7" x14ac:dyDescent="0.25">
      <c r="A664" s="545">
        <v>88247</v>
      </c>
      <c r="B664" s="546" t="s">
        <v>792</v>
      </c>
      <c r="C664" s="499" t="s">
        <v>806</v>
      </c>
      <c r="D664" s="542" t="s">
        <v>799</v>
      </c>
      <c r="E664" s="495">
        <v>0.08</v>
      </c>
      <c r="F664" s="543">
        <v>19.2</v>
      </c>
      <c r="G664" s="514">
        <f>TRUNC(F664*E664,2)</f>
        <v>1.53</v>
      </c>
    </row>
    <row r="665" spans="1:7" x14ac:dyDescent="0.25">
      <c r="A665" s="545">
        <v>88264</v>
      </c>
      <c r="B665" s="546" t="s">
        <v>792</v>
      </c>
      <c r="C665" s="499" t="s">
        <v>807</v>
      </c>
      <c r="D665" s="542" t="s">
        <v>799</v>
      </c>
      <c r="E665" s="495">
        <v>0.08</v>
      </c>
      <c r="F665" s="543">
        <v>23.24</v>
      </c>
      <c r="G665" s="514">
        <f>TRUNC(F665*E665,2)</f>
        <v>1.85</v>
      </c>
    </row>
    <row r="666" spans="1:7" x14ac:dyDescent="0.25">
      <c r="A666" s="788" t="s">
        <v>21</v>
      </c>
      <c r="B666" s="789"/>
      <c r="C666" s="789"/>
      <c r="D666" s="789"/>
      <c r="E666" s="789"/>
      <c r="F666" s="789"/>
      <c r="G666" s="511">
        <f>SUM(G664:G665)</f>
        <v>3.38</v>
      </c>
    </row>
    <row r="667" spans="1:7" x14ac:dyDescent="0.25">
      <c r="A667" s="780"/>
      <c r="B667" s="781"/>
      <c r="C667" s="781"/>
      <c r="D667" s="781"/>
      <c r="E667" s="781"/>
      <c r="F667" s="781"/>
      <c r="G667" s="782"/>
    </row>
    <row r="668" spans="1:7" x14ac:dyDescent="0.25">
      <c r="A668" s="507" t="s">
        <v>785</v>
      </c>
      <c r="B668" s="485" t="s">
        <v>786</v>
      </c>
      <c r="C668" s="489" t="s">
        <v>801</v>
      </c>
      <c r="D668" s="490" t="s">
        <v>788</v>
      </c>
      <c r="E668" s="496" t="s">
        <v>789</v>
      </c>
      <c r="F668" s="492" t="s">
        <v>790</v>
      </c>
      <c r="G668" s="509" t="s">
        <v>791</v>
      </c>
    </row>
    <row r="669" spans="1:7" ht="30" x14ac:dyDescent="0.25">
      <c r="A669" s="545">
        <v>442</v>
      </c>
      <c r="B669" s="546" t="s">
        <v>817</v>
      </c>
      <c r="C669" s="499" t="s">
        <v>1199</v>
      </c>
      <c r="D669" s="539" t="s">
        <v>62</v>
      </c>
      <c r="E669" s="498">
        <v>1</v>
      </c>
      <c r="F669" s="540">
        <v>5.58</v>
      </c>
      <c r="G669" s="510">
        <f t="shared" ref="G669" si="18">TRUNC(E669*F669,2)</f>
        <v>5.58</v>
      </c>
    </row>
    <row r="670" spans="1:7" x14ac:dyDescent="0.25">
      <c r="A670" s="788" t="s">
        <v>21</v>
      </c>
      <c r="B670" s="789"/>
      <c r="C670" s="789"/>
      <c r="D670" s="789"/>
      <c r="E670" s="789"/>
      <c r="F670" s="789"/>
      <c r="G670" s="511">
        <f>SUM(G669:G669)</f>
        <v>5.58</v>
      </c>
    </row>
    <row r="671" spans="1:7" x14ac:dyDescent="0.25">
      <c r="A671" s="797" t="s">
        <v>796</v>
      </c>
      <c r="B671" s="786"/>
      <c r="C671" s="786"/>
      <c r="D671" s="786"/>
      <c r="E671" s="786"/>
      <c r="F671" s="786"/>
      <c r="G671" s="512">
        <f>G666+G670</f>
        <v>8.9600000000000009</v>
      </c>
    </row>
    <row r="672" spans="1:7" ht="15.75" customHeight="1" x14ac:dyDescent="0.25">
      <c r="A672" s="780"/>
      <c r="B672" s="781"/>
      <c r="C672" s="781"/>
      <c r="D672" s="781"/>
      <c r="E672" s="781"/>
      <c r="F672" s="781"/>
      <c r="G672" s="782"/>
    </row>
    <row r="673" spans="1:7" x14ac:dyDescent="0.25">
      <c r="A673" s="772" t="s">
        <v>1215</v>
      </c>
      <c r="B673" s="773"/>
      <c r="C673" s="773"/>
      <c r="D673" s="773"/>
      <c r="E673" s="773"/>
      <c r="F673" s="773"/>
      <c r="G673" s="774"/>
    </row>
    <row r="674" spans="1:7" x14ac:dyDescent="0.25">
      <c r="A674" s="772"/>
      <c r="B674" s="773"/>
      <c r="C674" s="773"/>
      <c r="D674" s="773"/>
      <c r="E674" s="773"/>
      <c r="F674" s="773"/>
      <c r="G674" s="774"/>
    </row>
    <row r="675" spans="1:7" x14ac:dyDescent="0.25">
      <c r="A675" s="780"/>
      <c r="B675" s="781"/>
      <c r="C675" s="781"/>
      <c r="D675" s="781"/>
      <c r="E675" s="781"/>
      <c r="F675" s="781"/>
      <c r="G675" s="782"/>
    </row>
    <row r="676" spans="1:7" x14ac:dyDescent="0.25">
      <c r="A676" s="790" t="s">
        <v>1462</v>
      </c>
      <c r="B676" s="791"/>
      <c r="C676" s="792" t="str">
        <f>B688</f>
        <v>CABO COBRE ISOLADO XLPE 0,6/1KV - 95 MM</v>
      </c>
      <c r="D676" s="792"/>
      <c r="E676" s="792"/>
      <c r="F676" s="792"/>
      <c r="G676" s="793"/>
    </row>
    <row r="677" spans="1:7" x14ac:dyDescent="0.25">
      <c r="A677" s="780"/>
      <c r="B677" s="781"/>
      <c r="C677" s="781"/>
      <c r="D677" s="781"/>
      <c r="E677" s="781"/>
      <c r="F677" s="781"/>
      <c r="G677" s="782"/>
    </row>
    <row r="678" spans="1:7" x14ac:dyDescent="0.25">
      <c r="A678" s="507" t="s">
        <v>785</v>
      </c>
      <c r="B678" s="485" t="s">
        <v>786</v>
      </c>
      <c r="C678" s="489" t="s">
        <v>787</v>
      </c>
      <c r="D678" s="490" t="s">
        <v>788</v>
      </c>
      <c r="E678" s="491" t="s">
        <v>789</v>
      </c>
      <c r="F678" s="492" t="s">
        <v>790</v>
      </c>
      <c r="G678" s="509" t="s">
        <v>791</v>
      </c>
    </row>
    <row r="679" spans="1:7" x14ac:dyDescent="0.25">
      <c r="A679" s="545">
        <v>88247</v>
      </c>
      <c r="B679" s="546" t="s">
        <v>792</v>
      </c>
      <c r="C679" s="499" t="s">
        <v>806</v>
      </c>
      <c r="D679" s="542" t="s">
        <v>799</v>
      </c>
      <c r="E679" s="495">
        <v>0.66</v>
      </c>
      <c r="F679" s="543">
        <v>19.2</v>
      </c>
      <c r="G679" s="514">
        <f>TRUNC(F679*E679,2)</f>
        <v>12.67</v>
      </c>
    </row>
    <row r="680" spans="1:7" x14ac:dyDescent="0.25">
      <c r="A680" s="545">
        <v>88264</v>
      </c>
      <c r="B680" s="546" t="s">
        <v>792</v>
      </c>
      <c r="C680" s="499" t="s">
        <v>807</v>
      </c>
      <c r="D680" s="542" t="s">
        <v>799</v>
      </c>
      <c r="E680" s="495">
        <v>0.66</v>
      </c>
      <c r="F680" s="543">
        <v>23.24</v>
      </c>
      <c r="G680" s="514">
        <f>TRUNC(F680*E680,2)</f>
        <v>15.33</v>
      </c>
    </row>
    <row r="681" spans="1:7" x14ac:dyDescent="0.25">
      <c r="A681" s="788" t="s">
        <v>21</v>
      </c>
      <c r="B681" s="789"/>
      <c r="C681" s="789"/>
      <c r="D681" s="789"/>
      <c r="E681" s="789"/>
      <c r="F681" s="789"/>
      <c r="G681" s="511">
        <f>SUM(G679:G680)</f>
        <v>28</v>
      </c>
    </row>
    <row r="682" spans="1:7" x14ac:dyDescent="0.25">
      <c r="A682" s="780"/>
      <c r="B682" s="781"/>
      <c r="C682" s="781"/>
      <c r="D682" s="781"/>
      <c r="E682" s="781"/>
      <c r="F682" s="781"/>
      <c r="G682" s="782"/>
    </row>
    <row r="683" spans="1:7" x14ac:dyDescent="0.25">
      <c r="A683" s="507" t="s">
        <v>785</v>
      </c>
      <c r="B683" s="485" t="s">
        <v>786</v>
      </c>
      <c r="C683" s="489" t="s">
        <v>801</v>
      </c>
      <c r="D683" s="490" t="s">
        <v>788</v>
      </c>
      <c r="E683" s="496" t="s">
        <v>789</v>
      </c>
      <c r="F683" s="492" t="s">
        <v>790</v>
      </c>
      <c r="G683" s="509" t="s">
        <v>791</v>
      </c>
    </row>
    <row r="684" spans="1:7" x14ac:dyDescent="0.25">
      <c r="A684" s="515" t="s">
        <v>815</v>
      </c>
      <c r="B684" s="546" t="s">
        <v>808</v>
      </c>
      <c r="C684" s="501" t="str">
        <f>B688</f>
        <v>CABO COBRE ISOLADO XLPE 0,6/1KV - 95 MM</v>
      </c>
      <c r="D684" s="539" t="s">
        <v>62</v>
      </c>
      <c r="E684" s="498">
        <v>1</v>
      </c>
      <c r="F684" s="540">
        <f>D693</f>
        <v>90.58</v>
      </c>
      <c r="G684" s="514">
        <f>TRUNC(F684*E684,2)</f>
        <v>90.58</v>
      </c>
    </row>
    <row r="685" spans="1:7" x14ac:dyDescent="0.25">
      <c r="A685" s="788" t="s">
        <v>21</v>
      </c>
      <c r="B685" s="789"/>
      <c r="C685" s="789"/>
      <c r="D685" s="789"/>
      <c r="E685" s="789"/>
      <c r="F685" s="789"/>
      <c r="G685" s="511">
        <f>SUM(G684:G684)</f>
        <v>90.58</v>
      </c>
    </row>
    <row r="686" spans="1:7" x14ac:dyDescent="0.25">
      <c r="A686" s="797" t="s">
        <v>796</v>
      </c>
      <c r="B686" s="786"/>
      <c r="C686" s="786"/>
      <c r="D686" s="786"/>
      <c r="E686" s="786"/>
      <c r="F686" s="786"/>
      <c r="G686" s="512">
        <f>G681+G685</f>
        <v>118.58</v>
      </c>
    </row>
    <row r="687" spans="1:7" x14ac:dyDescent="0.25">
      <c r="A687" s="780"/>
      <c r="B687" s="781"/>
      <c r="C687" s="781"/>
      <c r="D687" s="781"/>
      <c r="E687" s="781"/>
      <c r="F687" s="781"/>
      <c r="G687" s="782"/>
    </row>
    <row r="688" spans="1:7" x14ac:dyDescent="0.25">
      <c r="A688" s="544" t="s">
        <v>809</v>
      </c>
      <c r="B688" s="802" t="s">
        <v>1259</v>
      </c>
      <c r="C688" s="802"/>
      <c r="D688" s="784"/>
      <c r="E688" s="784"/>
      <c r="F688" s="502"/>
      <c r="G688" s="516"/>
    </row>
    <row r="689" spans="1:7" x14ac:dyDescent="0.25">
      <c r="A689" s="545"/>
      <c r="B689" s="728" t="s">
        <v>1247</v>
      </c>
      <c r="C689" s="728"/>
      <c r="D689" s="784" t="s">
        <v>810</v>
      </c>
      <c r="E689" s="784"/>
      <c r="F689" s="541" t="s">
        <v>811</v>
      </c>
      <c r="G689" s="516" t="s">
        <v>1183</v>
      </c>
    </row>
    <row r="690" spans="1:7" ht="15" customHeight="1" x14ac:dyDescent="0.25">
      <c r="A690" s="517">
        <v>44740</v>
      </c>
      <c r="B690" s="775" t="s">
        <v>1358</v>
      </c>
      <c r="C690" s="775"/>
      <c r="D690" s="776">
        <v>80.900000000000006</v>
      </c>
      <c r="E690" s="776"/>
      <c r="F690" s="542" t="s">
        <v>1212</v>
      </c>
      <c r="G690" s="518" t="s">
        <v>1359</v>
      </c>
    </row>
    <row r="691" spans="1:7" ht="15" customHeight="1" x14ac:dyDescent="0.25">
      <c r="A691" s="519">
        <v>44741</v>
      </c>
      <c r="B691" s="785" t="s">
        <v>1362</v>
      </c>
      <c r="C691" s="785"/>
      <c r="D691" s="783">
        <v>92.39</v>
      </c>
      <c r="E691" s="783"/>
      <c r="F691" s="539" t="s">
        <v>1182</v>
      </c>
      <c r="G691" s="520" t="s">
        <v>1363</v>
      </c>
    </row>
    <row r="692" spans="1:7" ht="15" customHeight="1" x14ac:dyDescent="0.25">
      <c r="A692" s="519">
        <v>44741</v>
      </c>
      <c r="B692" s="785" t="s">
        <v>1248</v>
      </c>
      <c r="C692" s="785"/>
      <c r="D692" s="783">
        <v>90.58</v>
      </c>
      <c r="E692" s="783"/>
      <c r="F692" s="539" t="s">
        <v>1360</v>
      </c>
      <c r="G692" s="520" t="s">
        <v>1361</v>
      </c>
    </row>
    <row r="693" spans="1:7" x14ac:dyDescent="0.25">
      <c r="A693" s="787" t="s">
        <v>812</v>
      </c>
      <c r="B693" s="777"/>
      <c r="C693" s="777"/>
      <c r="D693" s="800">
        <f>MEDIAN(D690:E692)</f>
        <v>90.58</v>
      </c>
      <c r="E693" s="800"/>
      <c r="F693" s="800"/>
      <c r="G693" s="801"/>
    </row>
    <row r="694" spans="1:7" ht="15.75" customHeight="1" x14ac:dyDescent="0.25">
      <c r="A694" s="780"/>
      <c r="B694" s="781"/>
      <c r="C694" s="781"/>
      <c r="D694" s="781"/>
      <c r="E694" s="781"/>
      <c r="F694" s="781"/>
      <c r="G694" s="782"/>
    </row>
    <row r="695" spans="1:7" x14ac:dyDescent="0.25">
      <c r="A695" s="772" t="s">
        <v>1654</v>
      </c>
      <c r="B695" s="773"/>
      <c r="C695" s="773"/>
      <c r="D695" s="773"/>
      <c r="E695" s="773"/>
      <c r="F695" s="773"/>
      <c r="G695" s="774"/>
    </row>
    <row r="696" spans="1:7" x14ac:dyDescent="0.25">
      <c r="A696" s="772"/>
      <c r="B696" s="773"/>
      <c r="C696" s="773"/>
      <c r="D696" s="773"/>
      <c r="E696" s="773"/>
      <c r="F696" s="773"/>
      <c r="G696" s="774"/>
    </row>
    <row r="697" spans="1:7" x14ac:dyDescent="0.25">
      <c r="A697" s="780"/>
      <c r="B697" s="781"/>
      <c r="C697" s="781"/>
      <c r="D697" s="781"/>
      <c r="E697" s="781"/>
      <c r="F697" s="781"/>
      <c r="G697" s="782"/>
    </row>
    <row r="698" spans="1:7" x14ac:dyDescent="0.25">
      <c r="A698" s="790" t="s">
        <v>1463</v>
      </c>
      <c r="B698" s="791"/>
      <c r="C698" s="792" t="str">
        <f>B710</f>
        <v>CORDOALHA DE AÇO ZINCADO 9,5 MM - MENSAGEIRO REDE MT</v>
      </c>
      <c r="D698" s="792"/>
      <c r="E698" s="792"/>
      <c r="F698" s="792"/>
      <c r="G698" s="793"/>
    </row>
    <row r="699" spans="1:7" x14ac:dyDescent="0.25">
      <c r="A699" s="780"/>
      <c r="B699" s="781"/>
      <c r="C699" s="781"/>
      <c r="D699" s="781"/>
      <c r="E699" s="781"/>
      <c r="F699" s="781"/>
      <c r="G699" s="782"/>
    </row>
    <row r="700" spans="1:7" x14ac:dyDescent="0.25">
      <c r="A700" s="507" t="s">
        <v>785</v>
      </c>
      <c r="B700" s="485" t="s">
        <v>786</v>
      </c>
      <c r="C700" s="489" t="s">
        <v>787</v>
      </c>
      <c r="D700" s="490" t="s">
        <v>788</v>
      </c>
      <c r="E700" s="491" t="s">
        <v>789</v>
      </c>
      <c r="F700" s="492" t="s">
        <v>790</v>
      </c>
      <c r="G700" s="509" t="s">
        <v>791</v>
      </c>
    </row>
    <row r="701" spans="1:7" x14ac:dyDescent="0.25">
      <c r="A701" s="545">
        <v>88247</v>
      </c>
      <c r="B701" s="546" t="s">
        <v>792</v>
      </c>
      <c r="C701" s="499" t="s">
        <v>806</v>
      </c>
      <c r="D701" s="542" t="s">
        <v>799</v>
      </c>
      <c r="E701" s="495">
        <v>0.21</v>
      </c>
      <c r="F701" s="543">
        <v>19.2</v>
      </c>
      <c r="G701" s="514">
        <f>TRUNC(F701*E701,2)</f>
        <v>4.03</v>
      </c>
    </row>
    <row r="702" spans="1:7" x14ac:dyDescent="0.25">
      <c r="A702" s="545">
        <v>88264</v>
      </c>
      <c r="B702" s="546" t="s">
        <v>792</v>
      </c>
      <c r="C702" s="499" t="s">
        <v>807</v>
      </c>
      <c r="D702" s="542" t="s">
        <v>799</v>
      </c>
      <c r="E702" s="495">
        <v>0.21</v>
      </c>
      <c r="F702" s="543">
        <v>23.24</v>
      </c>
      <c r="G702" s="514">
        <f>TRUNC(F702*E702,2)</f>
        <v>4.88</v>
      </c>
    </row>
    <row r="703" spans="1:7" x14ac:dyDescent="0.25">
      <c r="A703" s="788" t="s">
        <v>21</v>
      </c>
      <c r="B703" s="789"/>
      <c r="C703" s="789"/>
      <c r="D703" s="789"/>
      <c r="E703" s="789"/>
      <c r="F703" s="789"/>
      <c r="G703" s="511">
        <f>SUM(G701:G702)</f>
        <v>8.91</v>
      </c>
    </row>
    <row r="704" spans="1:7" x14ac:dyDescent="0.25">
      <c r="A704" s="780"/>
      <c r="B704" s="781"/>
      <c r="C704" s="781"/>
      <c r="D704" s="781"/>
      <c r="E704" s="781"/>
      <c r="F704" s="781"/>
      <c r="G704" s="782"/>
    </row>
    <row r="705" spans="1:7" x14ac:dyDescent="0.25">
      <c r="A705" s="507" t="s">
        <v>785</v>
      </c>
      <c r="B705" s="485" t="s">
        <v>786</v>
      </c>
      <c r="C705" s="489" t="s">
        <v>801</v>
      </c>
      <c r="D705" s="490" t="s">
        <v>788</v>
      </c>
      <c r="E705" s="496" t="s">
        <v>789</v>
      </c>
      <c r="F705" s="492" t="s">
        <v>790</v>
      </c>
      <c r="G705" s="509" t="s">
        <v>791</v>
      </c>
    </row>
    <row r="706" spans="1:7" x14ac:dyDescent="0.25">
      <c r="A706" s="515" t="s">
        <v>815</v>
      </c>
      <c r="B706" s="546" t="s">
        <v>808</v>
      </c>
      <c r="C706" s="501" t="str">
        <f>B710</f>
        <v>CORDOALHA DE AÇO ZINCADO 9,5 MM - MENSAGEIRO REDE MT</v>
      </c>
      <c r="D706" s="539" t="s">
        <v>275</v>
      </c>
      <c r="E706" s="498">
        <v>1</v>
      </c>
      <c r="F706" s="540">
        <f>D715</f>
        <v>14.84</v>
      </c>
      <c r="G706" s="514">
        <f>TRUNC(F706*E706,2)</f>
        <v>14.84</v>
      </c>
    </row>
    <row r="707" spans="1:7" x14ac:dyDescent="0.25">
      <c r="A707" s="788" t="s">
        <v>21</v>
      </c>
      <c r="B707" s="789"/>
      <c r="C707" s="789"/>
      <c r="D707" s="789"/>
      <c r="E707" s="789"/>
      <c r="F707" s="789"/>
      <c r="G707" s="511">
        <f>SUM(G706:G706)</f>
        <v>14.84</v>
      </c>
    </row>
    <row r="708" spans="1:7" x14ac:dyDescent="0.25">
      <c r="A708" s="797" t="s">
        <v>796</v>
      </c>
      <c r="B708" s="786"/>
      <c r="C708" s="786"/>
      <c r="D708" s="786"/>
      <c r="E708" s="786"/>
      <c r="F708" s="786"/>
      <c r="G708" s="512">
        <f>G703+G707</f>
        <v>23.75</v>
      </c>
    </row>
    <row r="709" spans="1:7" x14ac:dyDescent="0.25">
      <c r="A709" s="780"/>
      <c r="B709" s="781"/>
      <c r="C709" s="781"/>
      <c r="D709" s="781"/>
      <c r="E709" s="781"/>
      <c r="F709" s="781"/>
      <c r="G709" s="782"/>
    </row>
    <row r="710" spans="1:7" ht="15" customHeight="1" x14ac:dyDescent="0.25">
      <c r="A710" s="544" t="s">
        <v>809</v>
      </c>
      <c r="B710" s="802" t="s">
        <v>1191</v>
      </c>
      <c r="C710" s="802"/>
      <c r="D710" s="802"/>
      <c r="E710" s="802"/>
      <c r="F710" s="802"/>
      <c r="G710" s="809"/>
    </row>
    <row r="711" spans="1:7" x14ac:dyDescent="0.25">
      <c r="A711" s="513"/>
      <c r="B711" s="728" t="s">
        <v>1247</v>
      </c>
      <c r="C711" s="728"/>
      <c r="D711" s="784" t="s">
        <v>810</v>
      </c>
      <c r="E711" s="784"/>
      <c r="F711" s="541" t="s">
        <v>811</v>
      </c>
      <c r="G711" s="516" t="s">
        <v>1183</v>
      </c>
    </row>
    <row r="712" spans="1:7" ht="15" customHeight="1" x14ac:dyDescent="0.25">
      <c r="A712" s="517">
        <v>44740</v>
      </c>
      <c r="B712" s="775" t="s">
        <v>1358</v>
      </c>
      <c r="C712" s="775"/>
      <c r="D712" s="776">
        <v>20.49</v>
      </c>
      <c r="E712" s="776"/>
      <c r="F712" s="542" t="s">
        <v>1212</v>
      </c>
      <c r="G712" s="518" t="s">
        <v>1359</v>
      </c>
    </row>
    <row r="713" spans="1:7" ht="15" customHeight="1" x14ac:dyDescent="0.25">
      <c r="A713" s="519">
        <v>44741</v>
      </c>
      <c r="B713" s="785" t="s">
        <v>1362</v>
      </c>
      <c r="C713" s="785"/>
      <c r="D713" s="783">
        <v>14.84</v>
      </c>
      <c r="E713" s="783"/>
      <c r="F713" s="539" t="s">
        <v>1182</v>
      </c>
      <c r="G713" s="520" t="s">
        <v>1363</v>
      </c>
    </row>
    <row r="714" spans="1:7" s="381" customFormat="1" ht="15" customHeight="1" x14ac:dyDescent="0.25">
      <c r="A714" s="519">
        <v>44741</v>
      </c>
      <c r="B714" s="785" t="s">
        <v>1248</v>
      </c>
      <c r="C714" s="785"/>
      <c r="D714" s="783">
        <v>14.7</v>
      </c>
      <c r="E714" s="783"/>
      <c r="F714" s="539" t="s">
        <v>1360</v>
      </c>
      <c r="G714" s="520" t="s">
        <v>1361</v>
      </c>
    </row>
    <row r="715" spans="1:7" x14ac:dyDescent="0.25">
      <c r="A715" s="787" t="s">
        <v>812</v>
      </c>
      <c r="B715" s="777"/>
      <c r="C715" s="777"/>
      <c r="D715" s="800">
        <f>MEDIAN(D712:E714)</f>
        <v>14.84</v>
      </c>
      <c r="E715" s="800"/>
      <c r="F715" s="800"/>
      <c r="G715" s="801"/>
    </row>
    <row r="716" spans="1:7" ht="15.75" customHeight="1" x14ac:dyDescent="0.25">
      <c r="A716" s="780"/>
      <c r="B716" s="781"/>
      <c r="C716" s="781"/>
      <c r="D716" s="781"/>
      <c r="E716" s="781"/>
      <c r="F716" s="781"/>
      <c r="G716" s="782"/>
    </row>
    <row r="717" spans="1:7" x14ac:dyDescent="0.25">
      <c r="A717" s="772" t="s">
        <v>1223</v>
      </c>
      <c r="B717" s="773"/>
      <c r="C717" s="773"/>
      <c r="D717" s="773"/>
      <c r="E717" s="773"/>
      <c r="F717" s="773"/>
      <c r="G717" s="774"/>
    </row>
    <row r="718" spans="1:7" x14ac:dyDescent="0.25">
      <c r="A718" s="772"/>
      <c r="B718" s="773"/>
      <c r="C718" s="773"/>
      <c r="D718" s="773"/>
      <c r="E718" s="773"/>
      <c r="F718" s="773"/>
      <c r="G718" s="774"/>
    </row>
    <row r="719" spans="1:7" x14ac:dyDescent="0.25">
      <c r="A719" s="780"/>
      <c r="B719" s="781"/>
      <c r="C719" s="781"/>
      <c r="D719" s="781"/>
      <c r="E719" s="781"/>
      <c r="F719" s="781"/>
      <c r="G719" s="782"/>
    </row>
    <row r="720" spans="1:7" x14ac:dyDescent="0.25">
      <c r="A720" s="790" t="s">
        <v>1464</v>
      </c>
      <c r="B720" s="791"/>
      <c r="C720" s="792" t="str">
        <f>B732</f>
        <v xml:space="preserve">ESPAÇADOR LOSANGULAR VERTICAL - C/ TRAVA </v>
      </c>
      <c r="D720" s="792"/>
      <c r="E720" s="792"/>
      <c r="F720" s="792"/>
      <c r="G720" s="793"/>
    </row>
    <row r="721" spans="1:7" x14ac:dyDescent="0.25">
      <c r="A721" s="780"/>
      <c r="B721" s="781"/>
      <c r="C721" s="781"/>
      <c r="D721" s="781"/>
      <c r="E721" s="781"/>
      <c r="F721" s="781"/>
      <c r="G721" s="782"/>
    </row>
    <row r="722" spans="1:7" x14ac:dyDescent="0.25">
      <c r="A722" s="507" t="s">
        <v>785</v>
      </c>
      <c r="B722" s="485" t="s">
        <v>786</v>
      </c>
      <c r="C722" s="489" t="s">
        <v>787</v>
      </c>
      <c r="D722" s="490" t="s">
        <v>788</v>
      </c>
      <c r="E722" s="491" t="s">
        <v>789</v>
      </c>
      <c r="F722" s="492" t="s">
        <v>790</v>
      </c>
      <c r="G722" s="509" t="s">
        <v>791</v>
      </c>
    </row>
    <row r="723" spans="1:7" x14ac:dyDescent="0.25">
      <c r="A723" s="545">
        <v>88247</v>
      </c>
      <c r="B723" s="546" t="s">
        <v>792</v>
      </c>
      <c r="C723" s="499" t="s">
        <v>806</v>
      </c>
      <c r="D723" s="542" t="s">
        <v>799</v>
      </c>
      <c r="E723" s="495">
        <v>0.3</v>
      </c>
      <c r="F723" s="543">
        <v>19.2</v>
      </c>
      <c r="G723" s="514">
        <f>TRUNC(F723*E723,2)</f>
        <v>5.76</v>
      </c>
    </row>
    <row r="724" spans="1:7" x14ac:dyDescent="0.25">
      <c r="A724" s="545">
        <v>88264</v>
      </c>
      <c r="B724" s="546" t="s">
        <v>792</v>
      </c>
      <c r="C724" s="499" t="s">
        <v>807</v>
      </c>
      <c r="D724" s="542" t="s">
        <v>799</v>
      </c>
      <c r="E724" s="495">
        <v>0.3</v>
      </c>
      <c r="F724" s="543">
        <v>23.24</v>
      </c>
      <c r="G724" s="514">
        <f>TRUNC(F724*E724,2)</f>
        <v>6.97</v>
      </c>
    </row>
    <row r="725" spans="1:7" x14ac:dyDescent="0.25">
      <c r="A725" s="788" t="s">
        <v>21</v>
      </c>
      <c r="B725" s="789"/>
      <c r="C725" s="789"/>
      <c r="D725" s="789"/>
      <c r="E725" s="789"/>
      <c r="F725" s="789"/>
      <c r="G725" s="511">
        <f>SUM(G723:G724)</f>
        <v>12.73</v>
      </c>
    </row>
    <row r="726" spans="1:7" x14ac:dyDescent="0.25">
      <c r="A726" s="780"/>
      <c r="B726" s="781"/>
      <c r="C726" s="781"/>
      <c r="D726" s="781"/>
      <c r="E726" s="781"/>
      <c r="F726" s="781"/>
      <c r="G726" s="782"/>
    </row>
    <row r="727" spans="1:7" x14ac:dyDescent="0.25">
      <c r="A727" s="507" t="s">
        <v>785</v>
      </c>
      <c r="B727" s="485" t="s">
        <v>786</v>
      </c>
      <c r="C727" s="489" t="s">
        <v>801</v>
      </c>
      <c r="D727" s="490" t="s">
        <v>788</v>
      </c>
      <c r="E727" s="496" t="s">
        <v>789</v>
      </c>
      <c r="F727" s="492" t="s">
        <v>790</v>
      </c>
      <c r="G727" s="509" t="s">
        <v>791</v>
      </c>
    </row>
    <row r="728" spans="1:7" x14ac:dyDescent="0.25">
      <c r="A728" s="515" t="s">
        <v>815</v>
      </c>
      <c r="B728" s="546" t="s">
        <v>808</v>
      </c>
      <c r="C728" s="501" t="str">
        <f>B732</f>
        <v xml:space="preserve">ESPAÇADOR LOSANGULAR VERTICAL - C/ TRAVA </v>
      </c>
      <c r="D728" s="539" t="s">
        <v>62</v>
      </c>
      <c r="E728" s="498">
        <v>1</v>
      </c>
      <c r="F728" s="540">
        <f>D737</f>
        <v>39.47</v>
      </c>
      <c r="G728" s="514">
        <f>TRUNC(F728*E728,2)</f>
        <v>39.47</v>
      </c>
    </row>
    <row r="729" spans="1:7" x14ac:dyDescent="0.25">
      <c r="A729" s="788" t="s">
        <v>21</v>
      </c>
      <c r="B729" s="789"/>
      <c r="C729" s="789"/>
      <c r="D729" s="789"/>
      <c r="E729" s="789"/>
      <c r="F729" s="789"/>
      <c r="G729" s="511">
        <f>SUM(G728:G728)</f>
        <v>39.47</v>
      </c>
    </row>
    <row r="730" spans="1:7" x14ac:dyDescent="0.25">
      <c r="A730" s="797" t="s">
        <v>796</v>
      </c>
      <c r="B730" s="786"/>
      <c r="C730" s="786"/>
      <c r="D730" s="786"/>
      <c r="E730" s="786"/>
      <c r="F730" s="786"/>
      <c r="G730" s="512">
        <f>G725+G729</f>
        <v>52.2</v>
      </c>
    </row>
    <row r="731" spans="1:7" x14ac:dyDescent="0.25">
      <c r="A731" s="780"/>
      <c r="B731" s="781"/>
      <c r="C731" s="781"/>
      <c r="D731" s="781"/>
      <c r="E731" s="781"/>
      <c r="F731" s="781"/>
      <c r="G731" s="782"/>
    </row>
    <row r="732" spans="1:7" x14ac:dyDescent="0.25">
      <c r="A732" s="544" t="s">
        <v>809</v>
      </c>
      <c r="B732" s="802" t="s">
        <v>1193</v>
      </c>
      <c r="C732" s="802"/>
      <c r="D732" s="784"/>
      <c r="E732" s="784"/>
      <c r="F732" s="502"/>
      <c r="G732" s="516"/>
    </row>
    <row r="733" spans="1:7" x14ac:dyDescent="0.25">
      <c r="A733" s="513"/>
      <c r="B733" s="728" t="s">
        <v>1247</v>
      </c>
      <c r="C733" s="728"/>
      <c r="D733" s="784" t="s">
        <v>810</v>
      </c>
      <c r="E733" s="784"/>
      <c r="F733" s="541" t="s">
        <v>811</v>
      </c>
      <c r="G733" s="516" t="s">
        <v>1183</v>
      </c>
    </row>
    <row r="734" spans="1:7" ht="15" customHeight="1" x14ac:dyDescent="0.25">
      <c r="A734" s="517">
        <v>44740</v>
      </c>
      <c r="B734" s="775" t="s">
        <v>1358</v>
      </c>
      <c r="C734" s="775"/>
      <c r="D734" s="776">
        <v>36.33</v>
      </c>
      <c r="E734" s="776"/>
      <c r="F734" s="542" t="s">
        <v>1212</v>
      </c>
      <c r="G734" s="518" t="s">
        <v>1359</v>
      </c>
    </row>
    <row r="735" spans="1:7" ht="15" customHeight="1" x14ac:dyDescent="0.25">
      <c r="A735" s="519">
        <v>44741</v>
      </c>
      <c r="B735" s="785" t="s">
        <v>1362</v>
      </c>
      <c r="C735" s="785"/>
      <c r="D735" s="783">
        <v>39.47</v>
      </c>
      <c r="E735" s="783"/>
      <c r="F735" s="539" t="s">
        <v>1182</v>
      </c>
      <c r="G735" s="520" t="s">
        <v>1363</v>
      </c>
    </row>
    <row r="736" spans="1:7" s="381" customFormat="1" ht="15" customHeight="1" x14ac:dyDescent="0.25">
      <c r="A736" s="519">
        <v>44741</v>
      </c>
      <c r="B736" s="785" t="s">
        <v>1248</v>
      </c>
      <c r="C736" s="785"/>
      <c r="D736" s="783">
        <v>40.659999999999997</v>
      </c>
      <c r="E736" s="783"/>
      <c r="F736" s="539" t="s">
        <v>1360</v>
      </c>
      <c r="G736" s="520" t="s">
        <v>1361</v>
      </c>
    </row>
    <row r="737" spans="1:7" x14ac:dyDescent="0.25">
      <c r="A737" s="787" t="s">
        <v>812</v>
      </c>
      <c r="B737" s="777"/>
      <c r="C737" s="777"/>
      <c r="D737" s="800">
        <f>MEDIAN(D734:E736)</f>
        <v>39.47</v>
      </c>
      <c r="E737" s="800"/>
      <c r="F737" s="800"/>
      <c r="G737" s="801"/>
    </row>
    <row r="738" spans="1:7" x14ac:dyDescent="0.25">
      <c r="A738" s="780"/>
      <c r="B738" s="781"/>
      <c r="C738" s="781"/>
      <c r="D738" s="781"/>
      <c r="E738" s="781"/>
      <c r="F738" s="781"/>
      <c r="G738" s="782"/>
    </row>
    <row r="739" spans="1:7" x14ac:dyDescent="0.25">
      <c r="A739" s="772" t="s">
        <v>1224</v>
      </c>
      <c r="B739" s="773"/>
      <c r="C739" s="773"/>
      <c r="D739" s="773"/>
      <c r="E739" s="773"/>
      <c r="F739" s="773"/>
      <c r="G739" s="774"/>
    </row>
    <row r="740" spans="1:7" x14ac:dyDescent="0.25">
      <c r="A740" s="772"/>
      <c r="B740" s="773"/>
      <c r="C740" s="773"/>
      <c r="D740" s="773"/>
      <c r="E740" s="773"/>
      <c r="F740" s="773"/>
      <c r="G740" s="774"/>
    </row>
    <row r="741" spans="1:7" x14ac:dyDescent="0.25">
      <c r="A741" s="780"/>
      <c r="B741" s="781"/>
      <c r="C741" s="781"/>
      <c r="D741" s="781"/>
      <c r="E741" s="781"/>
      <c r="F741" s="781"/>
      <c r="G741" s="782"/>
    </row>
    <row r="742" spans="1:7" x14ac:dyDescent="0.25">
      <c r="A742" s="790" t="s">
        <v>1465</v>
      </c>
      <c r="B742" s="791"/>
      <c r="C742" s="792" t="str">
        <f>B754</f>
        <v>ANEL DE AMARAÇÃO - SILICONE</v>
      </c>
      <c r="D742" s="792"/>
      <c r="E742" s="792"/>
      <c r="F742" s="792"/>
      <c r="G742" s="793"/>
    </row>
    <row r="743" spans="1:7" x14ac:dyDescent="0.25">
      <c r="A743" s="780"/>
      <c r="B743" s="781"/>
      <c r="C743" s="781"/>
      <c r="D743" s="781"/>
      <c r="E743" s="781"/>
      <c r="F743" s="781"/>
      <c r="G743" s="782"/>
    </row>
    <row r="744" spans="1:7" x14ac:dyDescent="0.25">
      <c r="A744" s="507" t="s">
        <v>785</v>
      </c>
      <c r="B744" s="485" t="s">
        <v>786</v>
      </c>
      <c r="C744" s="489" t="s">
        <v>787</v>
      </c>
      <c r="D744" s="490" t="s">
        <v>788</v>
      </c>
      <c r="E744" s="491" t="s">
        <v>789</v>
      </c>
      <c r="F744" s="492" t="s">
        <v>790</v>
      </c>
      <c r="G744" s="509" t="s">
        <v>791</v>
      </c>
    </row>
    <row r="745" spans="1:7" x14ac:dyDescent="0.25">
      <c r="A745" s="545">
        <v>88247</v>
      </c>
      <c r="B745" s="546" t="s">
        <v>792</v>
      </c>
      <c r="C745" s="499" t="s">
        <v>806</v>
      </c>
      <c r="D745" s="542" t="s">
        <v>799</v>
      </c>
      <c r="E745" s="495">
        <v>0.3</v>
      </c>
      <c r="F745" s="543">
        <v>19.2</v>
      </c>
      <c r="G745" s="514">
        <f>TRUNC(F745*E745,2)</f>
        <v>5.76</v>
      </c>
    </row>
    <row r="746" spans="1:7" x14ac:dyDescent="0.25">
      <c r="A746" s="545">
        <v>88264</v>
      </c>
      <c r="B746" s="546" t="s">
        <v>792</v>
      </c>
      <c r="C746" s="499" t="s">
        <v>807</v>
      </c>
      <c r="D746" s="542" t="s">
        <v>799</v>
      </c>
      <c r="E746" s="495">
        <v>0.3</v>
      </c>
      <c r="F746" s="543">
        <v>23.24</v>
      </c>
      <c r="G746" s="514">
        <f>TRUNC(F746*E746,2)</f>
        <v>6.97</v>
      </c>
    </row>
    <row r="747" spans="1:7" x14ac:dyDescent="0.25">
      <c r="A747" s="788" t="s">
        <v>21</v>
      </c>
      <c r="B747" s="789"/>
      <c r="C747" s="789"/>
      <c r="D747" s="789"/>
      <c r="E747" s="789"/>
      <c r="F747" s="789"/>
      <c r="G747" s="511">
        <f>SUM(G745:G746)</f>
        <v>12.73</v>
      </c>
    </row>
    <row r="748" spans="1:7" x14ac:dyDescent="0.25">
      <c r="A748" s="780"/>
      <c r="B748" s="781"/>
      <c r="C748" s="781"/>
      <c r="D748" s="781"/>
      <c r="E748" s="781"/>
      <c r="F748" s="781"/>
      <c r="G748" s="782"/>
    </row>
    <row r="749" spans="1:7" x14ac:dyDescent="0.25">
      <c r="A749" s="507" t="s">
        <v>785</v>
      </c>
      <c r="B749" s="485" t="s">
        <v>786</v>
      </c>
      <c r="C749" s="489" t="s">
        <v>801</v>
      </c>
      <c r="D749" s="490" t="s">
        <v>788</v>
      </c>
      <c r="E749" s="496" t="s">
        <v>789</v>
      </c>
      <c r="F749" s="492" t="s">
        <v>790</v>
      </c>
      <c r="G749" s="509" t="s">
        <v>791</v>
      </c>
    </row>
    <row r="750" spans="1:7" x14ac:dyDescent="0.25">
      <c r="A750" s="515" t="s">
        <v>815</v>
      </c>
      <c r="B750" s="546" t="s">
        <v>808</v>
      </c>
      <c r="C750" s="501" t="str">
        <f>B754</f>
        <v>ANEL DE AMARAÇÃO - SILICONE</v>
      </c>
      <c r="D750" s="539" t="s">
        <v>62</v>
      </c>
      <c r="E750" s="498">
        <v>1</v>
      </c>
      <c r="F750" s="540">
        <f>D759</f>
        <v>3.45</v>
      </c>
      <c r="G750" s="514">
        <f>TRUNC(F750*E750,2)</f>
        <v>3.45</v>
      </c>
    </row>
    <row r="751" spans="1:7" x14ac:dyDescent="0.25">
      <c r="A751" s="788" t="s">
        <v>21</v>
      </c>
      <c r="B751" s="789"/>
      <c r="C751" s="789"/>
      <c r="D751" s="789"/>
      <c r="E751" s="789"/>
      <c r="F751" s="789"/>
      <c r="G751" s="511">
        <f>SUM(G750:G750)</f>
        <v>3.45</v>
      </c>
    </row>
    <row r="752" spans="1:7" x14ac:dyDescent="0.25">
      <c r="A752" s="797" t="s">
        <v>796</v>
      </c>
      <c r="B752" s="786"/>
      <c r="C752" s="786"/>
      <c r="D752" s="786"/>
      <c r="E752" s="786"/>
      <c r="F752" s="786"/>
      <c r="G752" s="512">
        <f>G747+G751</f>
        <v>16.18</v>
      </c>
    </row>
    <row r="753" spans="1:7" x14ac:dyDescent="0.25">
      <c r="A753" s="780"/>
      <c r="B753" s="781"/>
      <c r="C753" s="781"/>
      <c r="D753" s="781"/>
      <c r="E753" s="781"/>
      <c r="F753" s="781"/>
      <c r="G753" s="782"/>
    </row>
    <row r="754" spans="1:7" ht="15" customHeight="1" x14ac:dyDescent="0.25">
      <c r="A754" s="544" t="s">
        <v>809</v>
      </c>
      <c r="B754" s="802" t="s">
        <v>1194</v>
      </c>
      <c r="C754" s="802"/>
      <c r="D754" s="802"/>
      <c r="E754" s="802"/>
      <c r="F754" s="802"/>
      <c r="G754" s="809"/>
    </row>
    <row r="755" spans="1:7" x14ac:dyDescent="0.25">
      <c r="A755" s="545"/>
      <c r="B755" s="728" t="s">
        <v>1247</v>
      </c>
      <c r="C755" s="728"/>
      <c r="D755" s="784" t="s">
        <v>810</v>
      </c>
      <c r="E755" s="784"/>
      <c r="F755" s="541" t="s">
        <v>811</v>
      </c>
      <c r="G755" s="516" t="s">
        <v>1183</v>
      </c>
    </row>
    <row r="756" spans="1:7" ht="15" customHeight="1" x14ac:dyDescent="0.25">
      <c r="A756" s="517">
        <v>44740</v>
      </c>
      <c r="B756" s="775" t="s">
        <v>1358</v>
      </c>
      <c r="C756" s="775"/>
      <c r="D756" s="776">
        <v>2.66</v>
      </c>
      <c r="E756" s="776"/>
      <c r="F756" s="542" t="s">
        <v>1212</v>
      </c>
      <c r="G756" s="518" t="s">
        <v>1359</v>
      </c>
    </row>
    <row r="757" spans="1:7" ht="15" customHeight="1" x14ac:dyDescent="0.25">
      <c r="A757" s="519">
        <v>44741</v>
      </c>
      <c r="B757" s="785" t="s">
        <v>1362</v>
      </c>
      <c r="C757" s="785"/>
      <c r="D757" s="783">
        <v>3.45</v>
      </c>
      <c r="E757" s="783"/>
      <c r="F757" s="539" t="s">
        <v>1182</v>
      </c>
      <c r="G757" s="520" t="s">
        <v>1363</v>
      </c>
    </row>
    <row r="758" spans="1:7" ht="15" customHeight="1" x14ac:dyDescent="0.25">
      <c r="A758" s="519">
        <v>44741</v>
      </c>
      <c r="B758" s="785" t="s">
        <v>1248</v>
      </c>
      <c r="C758" s="785"/>
      <c r="D758" s="783">
        <v>8.58</v>
      </c>
      <c r="E758" s="783"/>
      <c r="F758" s="539" t="s">
        <v>1360</v>
      </c>
      <c r="G758" s="520" t="s">
        <v>1361</v>
      </c>
    </row>
    <row r="759" spans="1:7" x14ac:dyDescent="0.25">
      <c r="A759" s="787" t="s">
        <v>812</v>
      </c>
      <c r="B759" s="777"/>
      <c r="C759" s="777"/>
      <c r="D759" s="800">
        <f>MEDIAN(D756:E758)</f>
        <v>3.45</v>
      </c>
      <c r="E759" s="800"/>
      <c r="F759" s="800"/>
      <c r="G759" s="801"/>
    </row>
    <row r="760" spans="1:7" x14ac:dyDescent="0.25">
      <c r="A760" s="780"/>
      <c r="B760" s="781"/>
      <c r="C760" s="781"/>
      <c r="D760" s="781"/>
      <c r="E760" s="781"/>
      <c r="F760" s="781"/>
      <c r="G760" s="782"/>
    </row>
    <row r="761" spans="1:7" x14ac:dyDescent="0.25">
      <c r="A761" s="772" t="s">
        <v>1244</v>
      </c>
      <c r="B761" s="773"/>
      <c r="C761" s="773"/>
      <c r="D761" s="773"/>
      <c r="E761" s="773"/>
      <c r="F761" s="773"/>
      <c r="G761" s="774"/>
    </row>
    <row r="762" spans="1:7" x14ac:dyDescent="0.25">
      <c r="A762" s="772"/>
      <c r="B762" s="773"/>
      <c r="C762" s="773"/>
      <c r="D762" s="773"/>
      <c r="E762" s="773"/>
      <c r="F762" s="773"/>
      <c r="G762" s="774"/>
    </row>
    <row r="763" spans="1:7" x14ac:dyDescent="0.25">
      <c r="A763" s="780"/>
      <c r="B763" s="781"/>
      <c r="C763" s="781"/>
      <c r="D763" s="781"/>
      <c r="E763" s="781"/>
      <c r="F763" s="781"/>
      <c r="G763" s="782"/>
    </row>
    <row r="764" spans="1:7" x14ac:dyDescent="0.25">
      <c r="A764" s="790" t="s">
        <v>1466</v>
      </c>
      <c r="B764" s="791"/>
      <c r="C764" s="792" t="str">
        <f>B776</f>
        <v>SUPORTE L - EST. CLEA1</v>
      </c>
      <c r="D764" s="792"/>
      <c r="E764" s="792"/>
      <c r="F764" s="792"/>
      <c r="G764" s="793"/>
    </row>
    <row r="765" spans="1:7" x14ac:dyDescent="0.25">
      <c r="A765" s="780"/>
      <c r="B765" s="781"/>
      <c r="C765" s="781"/>
      <c r="D765" s="781"/>
      <c r="E765" s="781"/>
      <c r="F765" s="781"/>
      <c r="G765" s="782"/>
    </row>
    <row r="766" spans="1:7" x14ac:dyDescent="0.25">
      <c r="A766" s="507" t="s">
        <v>785</v>
      </c>
      <c r="B766" s="485" t="s">
        <v>786</v>
      </c>
      <c r="C766" s="489" t="s">
        <v>787</v>
      </c>
      <c r="D766" s="490" t="s">
        <v>788</v>
      </c>
      <c r="E766" s="491" t="s">
        <v>789</v>
      </c>
      <c r="F766" s="492" t="s">
        <v>790</v>
      </c>
      <c r="G766" s="509" t="s">
        <v>791</v>
      </c>
    </row>
    <row r="767" spans="1:7" x14ac:dyDescent="0.25">
      <c r="A767" s="545">
        <v>88247</v>
      </c>
      <c r="B767" s="546" t="s">
        <v>792</v>
      </c>
      <c r="C767" s="499" t="s">
        <v>806</v>
      </c>
      <c r="D767" s="542" t="s">
        <v>799</v>
      </c>
      <c r="E767" s="495">
        <v>0.3</v>
      </c>
      <c r="F767" s="543">
        <v>19.2</v>
      </c>
      <c r="G767" s="514">
        <f>TRUNC(F767*E767,2)</f>
        <v>5.76</v>
      </c>
    </row>
    <row r="768" spans="1:7" x14ac:dyDescent="0.25">
      <c r="A768" s="545">
        <v>88264</v>
      </c>
      <c r="B768" s="546" t="s">
        <v>792</v>
      </c>
      <c r="C768" s="499" t="s">
        <v>807</v>
      </c>
      <c r="D768" s="542" t="s">
        <v>799</v>
      </c>
      <c r="E768" s="495">
        <v>0.3</v>
      </c>
      <c r="F768" s="543">
        <v>23.24</v>
      </c>
      <c r="G768" s="514">
        <f>TRUNC(F768*E768,2)</f>
        <v>6.97</v>
      </c>
    </row>
    <row r="769" spans="1:7" x14ac:dyDescent="0.25">
      <c r="A769" s="788" t="s">
        <v>21</v>
      </c>
      <c r="B769" s="789"/>
      <c r="C769" s="789"/>
      <c r="D769" s="789"/>
      <c r="E769" s="789"/>
      <c r="F769" s="789"/>
      <c r="G769" s="511">
        <f>SUM(G767:G768)</f>
        <v>12.73</v>
      </c>
    </row>
    <row r="770" spans="1:7" x14ac:dyDescent="0.25">
      <c r="A770" s="780"/>
      <c r="B770" s="781"/>
      <c r="C770" s="781"/>
      <c r="D770" s="781"/>
      <c r="E770" s="781"/>
      <c r="F770" s="781"/>
      <c r="G770" s="782"/>
    </row>
    <row r="771" spans="1:7" x14ac:dyDescent="0.25">
      <c r="A771" s="507" t="s">
        <v>785</v>
      </c>
      <c r="B771" s="485" t="s">
        <v>786</v>
      </c>
      <c r="C771" s="489" t="s">
        <v>801</v>
      </c>
      <c r="D771" s="490" t="s">
        <v>788</v>
      </c>
      <c r="E771" s="496" t="s">
        <v>789</v>
      </c>
      <c r="F771" s="492" t="s">
        <v>790</v>
      </c>
      <c r="G771" s="509" t="s">
        <v>791</v>
      </c>
    </row>
    <row r="772" spans="1:7" x14ac:dyDescent="0.25">
      <c r="A772" s="515" t="s">
        <v>815</v>
      </c>
      <c r="B772" s="546" t="s">
        <v>808</v>
      </c>
      <c r="C772" s="501" t="str">
        <f>B776</f>
        <v>SUPORTE L - EST. CLEA1</v>
      </c>
      <c r="D772" s="539" t="s">
        <v>62</v>
      </c>
      <c r="E772" s="498">
        <v>1</v>
      </c>
      <c r="F772" s="540">
        <f>D781</f>
        <v>144.44</v>
      </c>
      <c r="G772" s="514">
        <f>TRUNC(F772*E772,2)</f>
        <v>144.44</v>
      </c>
    </row>
    <row r="773" spans="1:7" x14ac:dyDescent="0.25">
      <c r="A773" s="788" t="s">
        <v>21</v>
      </c>
      <c r="B773" s="789"/>
      <c r="C773" s="789"/>
      <c r="D773" s="789"/>
      <c r="E773" s="789"/>
      <c r="F773" s="789"/>
      <c r="G773" s="511">
        <f>SUM(G772:G772)</f>
        <v>144.44</v>
      </c>
    </row>
    <row r="774" spans="1:7" x14ac:dyDescent="0.25">
      <c r="A774" s="797" t="s">
        <v>796</v>
      </c>
      <c r="B774" s="786"/>
      <c r="C774" s="786"/>
      <c r="D774" s="786"/>
      <c r="E774" s="786"/>
      <c r="F774" s="786"/>
      <c r="G774" s="512">
        <f>G769+G773</f>
        <v>157.16999999999999</v>
      </c>
    </row>
    <row r="775" spans="1:7" x14ac:dyDescent="0.25">
      <c r="A775" s="780"/>
      <c r="B775" s="781"/>
      <c r="C775" s="781"/>
      <c r="D775" s="781"/>
      <c r="E775" s="781"/>
      <c r="F775" s="781"/>
      <c r="G775" s="782"/>
    </row>
    <row r="776" spans="1:7" ht="15" customHeight="1" x14ac:dyDescent="0.25">
      <c r="A776" s="544" t="s">
        <v>809</v>
      </c>
      <c r="B776" s="531" t="s">
        <v>1195</v>
      </c>
      <c r="C776" s="531"/>
      <c r="D776" s="529"/>
      <c r="E776" s="529"/>
      <c r="F776" s="502"/>
      <c r="G776" s="516"/>
    </row>
    <row r="777" spans="1:7" x14ac:dyDescent="0.25">
      <c r="A777" s="513"/>
      <c r="B777" s="728" t="s">
        <v>1247</v>
      </c>
      <c r="C777" s="728"/>
      <c r="D777" s="784" t="s">
        <v>810</v>
      </c>
      <c r="E777" s="784"/>
      <c r="F777" s="541" t="s">
        <v>811</v>
      </c>
      <c r="G777" s="516" t="s">
        <v>1183</v>
      </c>
    </row>
    <row r="778" spans="1:7" ht="15" customHeight="1" x14ac:dyDescent="0.25">
      <c r="A778" s="517">
        <v>44740</v>
      </c>
      <c r="B778" s="775" t="s">
        <v>1358</v>
      </c>
      <c r="C778" s="775"/>
      <c r="D778" s="776">
        <v>110.24</v>
      </c>
      <c r="E778" s="776"/>
      <c r="F778" s="542" t="s">
        <v>1212</v>
      </c>
      <c r="G778" s="518" t="s">
        <v>1359</v>
      </c>
    </row>
    <row r="779" spans="1:7" ht="15" customHeight="1" x14ac:dyDescent="0.25">
      <c r="A779" s="519">
        <v>44741</v>
      </c>
      <c r="B779" s="785" t="s">
        <v>1362</v>
      </c>
      <c r="C779" s="785"/>
      <c r="D779" s="783">
        <v>219.51</v>
      </c>
      <c r="E779" s="783"/>
      <c r="F779" s="539" t="s">
        <v>1182</v>
      </c>
      <c r="G779" s="520" t="s">
        <v>1363</v>
      </c>
    </row>
    <row r="780" spans="1:7" s="381" customFormat="1" ht="15" customHeight="1" x14ac:dyDescent="0.25">
      <c r="A780" s="519">
        <v>44741</v>
      </c>
      <c r="B780" s="785" t="s">
        <v>1248</v>
      </c>
      <c r="C780" s="785"/>
      <c r="D780" s="783">
        <v>144.44</v>
      </c>
      <c r="E780" s="783"/>
      <c r="F780" s="539" t="s">
        <v>1360</v>
      </c>
      <c r="G780" s="520" t="s">
        <v>1361</v>
      </c>
    </row>
    <row r="781" spans="1:7" x14ac:dyDescent="0.25">
      <c r="A781" s="787" t="s">
        <v>812</v>
      </c>
      <c r="B781" s="777"/>
      <c r="C781" s="777"/>
      <c r="D781" s="800">
        <f>MEDIAN(D778:E780)</f>
        <v>144.44</v>
      </c>
      <c r="E781" s="800"/>
      <c r="F781" s="800"/>
      <c r="G781" s="801"/>
    </row>
    <row r="782" spans="1:7" x14ac:dyDescent="0.25">
      <c r="A782" s="780"/>
      <c r="B782" s="781"/>
      <c r="C782" s="781"/>
      <c r="D782" s="781"/>
      <c r="E782" s="781"/>
      <c r="F782" s="781"/>
      <c r="G782" s="782"/>
    </row>
    <row r="783" spans="1:7" x14ac:dyDescent="0.25">
      <c r="A783" s="772" t="s">
        <v>1225</v>
      </c>
      <c r="B783" s="773"/>
      <c r="C783" s="773"/>
      <c r="D783" s="773"/>
      <c r="E783" s="773"/>
      <c r="F783" s="773"/>
      <c r="G783" s="774"/>
    </row>
    <row r="784" spans="1:7" x14ac:dyDescent="0.25">
      <c r="A784" s="772"/>
      <c r="B784" s="773"/>
      <c r="C784" s="773"/>
      <c r="D784" s="773"/>
      <c r="E784" s="773"/>
      <c r="F784" s="773"/>
      <c r="G784" s="774"/>
    </row>
    <row r="785" spans="1:7" x14ac:dyDescent="0.25">
      <c r="A785" s="780"/>
      <c r="B785" s="781"/>
      <c r="C785" s="781"/>
      <c r="D785" s="781"/>
      <c r="E785" s="781"/>
      <c r="F785" s="781"/>
      <c r="G785" s="782"/>
    </row>
    <row r="786" spans="1:7" x14ac:dyDescent="0.25">
      <c r="A786" s="790" t="s">
        <v>1467</v>
      </c>
      <c r="B786" s="791"/>
      <c r="C786" s="798" t="str">
        <f>B798</f>
        <v>ESTRIBO PARA SUPORTE L - EST. CLEA1</v>
      </c>
      <c r="D786" s="798"/>
      <c r="E786" s="798"/>
      <c r="F786" s="798"/>
      <c r="G786" s="799"/>
    </row>
    <row r="787" spans="1:7" x14ac:dyDescent="0.25">
      <c r="A787" s="780"/>
      <c r="B787" s="781"/>
      <c r="C787" s="781"/>
      <c r="D787" s="781"/>
      <c r="E787" s="781"/>
      <c r="F787" s="781"/>
      <c r="G787" s="782"/>
    </row>
    <row r="788" spans="1:7" x14ac:dyDescent="0.25">
      <c r="A788" s="507" t="s">
        <v>785</v>
      </c>
      <c r="B788" s="485" t="s">
        <v>786</v>
      </c>
      <c r="C788" s="489" t="s">
        <v>787</v>
      </c>
      <c r="D788" s="490" t="s">
        <v>788</v>
      </c>
      <c r="E788" s="491" t="s">
        <v>789</v>
      </c>
      <c r="F788" s="492" t="s">
        <v>790</v>
      </c>
      <c r="G788" s="509" t="s">
        <v>791</v>
      </c>
    </row>
    <row r="789" spans="1:7" x14ac:dyDescent="0.25">
      <c r="A789" s="545">
        <v>88247</v>
      </c>
      <c r="B789" s="546" t="s">
        <v>792</v>
      </c>
      <c r="C789" s="499" t="s">
        <v>806</v>
      </c>
      <c r="D789" s="542" t="s">
        <v>799</v>
      </c>
      <c r="E789" s="495">
        <v>0.2</v>
      </c>
      <c r="F789" s="543">
        <v>19.2</v>
      </c>
      <c r="G789" s="514">
        <f>TRUNC(F789*E789,2)</f>
        <v>3.84</v>
      </c>
    </row>
    <row r="790" spans="1:7" x14ac:dyDescent="0.25">
      <c r="A790" s="545">
        <v>88264</v>
      </c>
      <c r="B790" s="546" t="s">
        <v>792</v>
      </c>
      <c r="C790" s="499" t="s">
        <v>807</v>
      </c>
      <c r="D790" s="542" t="s">
        <v>799</v>
      </c>
      <c r="E790" s="495">
        <v>0.2</v>
      </c>
      <c r="F790" s="543">
        <v>23.24</v>
      </c>
      <c r="G790" s="514">
        <f>TRUNC(F790*E790,2)</f>
        <v>4.6399999999999997</v>
      </c>
    </row>
    <row r="791" spans="1:7" x14ac:dyDescent="0.25">
      <c r="A791" s="788" t="s">
        <v>21</v>
      </c>
      <c r="B791" s="789"/>
      <c r="C791" s="789"/>
      <c r="D791" s="789"/>
      <c r="E791" s="789"/>
      <c r="F791" s="789"/>
      <c r="G791" s="511">
        <f>SUM(G789:G790)</f>
        <v>8.48</v>
      </c>
    </row>
    <row r="792" spans="1:7" x14ac:dyDescent="0.25">
      <c r="A792" s="780"/>
      <c r="B792" s="781"/>
      <c r="C792" s="781"/>
      <c r="D792" s="781"/>
      <c r="E792" s="781"/>
      <c r="F792" s="781"/>
      <c r="G792" s="782"/>
    </row>
    <row r="793" spans="1:7" x14ac:dyDescent="0.25">
      <c r="A793" s="507" t="s">
        <v>785</v>
      </c>
      <c r="B793" s="485" t="s">
        <v>786</v>
      </c>
      <c r="C793" s="489" t="s">
        <v>801</v>
      </c>
      <c r="D793" s="490" t="s">
        <v>788</v>
      </c>
      <c r="E793" s="496" t="s">
        <v>789</v>
      </c>
      <c r="F793" s="492" t="s">
        <v>790</v>
      </c>
      <c r="G793" s="509" t="s">
        <v>791</v>
      </c>
    </row>
    <row r="794" spans="1:7" x14ac:dyDescent="0.25">
      <c r="A794" s="515" t="s">
        <v>815</v>
      </c>
      <c r="B794" s="546" t="s">
        <v>808</v>
      </c>
      <c r="C794" s="501" t="str">
        <f>B798</f>
        <v>ESTRIBO PARA SUPORTE L - EST. CLEA1</v>
      </c>
      <c r="D794" s="539" t="s">
        <v>62</v>
      </c>
      <c r="E794" s="498">
        <v>1</v>
      </c>
      <c r="F794" s="540">
        <f>D802</f>
        <v>162.80000000000001</v>
      </c>
      <c r="G794" s="514">
        <f>TRUNC(F794*E794,2)</f>
        <v>162.80000000000001</v>
      </c>
    </row>
    <row r="795" spans="1:7" x14ac:dyDescent="0.25">
      <c r="A795" s="788" t="s">
        <v>21</v>
      </c>
      <c r="B795" s="789"/>
      <c r="C795" s="789"/>
      <c r="D795" s="789"/>
      <c r="E795" s="789"/>
      <c r="F795" s="789"/>
      <c r="G795" s="511">
        <f>SUM(G794:G794)</f>
        <v>162.80000000000001</v>
      </c>
    </row>
    <row r="796" spans="1:7" x14ac:dyDescent="0.25">
      <c r="A796" s="797" t="s">
        <v>796</v>
      </c>
      <c r="B796" s="786"/>
      <c r="C796" s="786"/>
      <c r="D796" s="786"/>
      <c r="E796" s="786"/>
      <c r="F796" s="786"/>
      <c r="G796" s="512">
        <f>G791+G795</f>
        <v>171.28</v>
      </c>
    </row>
    <row r="797" spans="1:7" x14ac:dyDescent="0.25">
      <c r="A797" s="780"/>
      <c r="B797" s="781"/>
      <c r="C797" s="781"/>
      <c r="D797" s="781"/>
      <c r="E797" s="781"/>
      <c r="F797" s="781"/>
      <c r="G797" s="782"/>
    </row>
    <row r="798" spans="1:7" x14ac:dyDescent="0.25">
      <c r="A798" s="544" t="s">
        <v>809</v>
      </c>
      <c r="B798" s="802" t="s">
        <v>1196</v>
      </c>
      <c r="C798" s="802"/>
      <c r="D798" s="784"/>
      <c r="E798" s="784"/>
      <c r="F798" s="502"/>
      <c r="G798" s="516"/>
    </row>
    <row r="799" spans="1:7" x14ac:dyDescent="0.25">
      <c r="A799" s="545"/>
      <c r="B799" s="728" t="s">
        <v>1247</v>
      </c>
      <c r="C799" s="728"/>
      <c r="D799" s="784" t="s">
        <v>810</v>
      </c>
      <c r="E799" s="784"/>
      <c r="F799" s="541" t="s">
        <v>811</v>
      </c>
      <c r="G799" s="516" t="s">
        <v>1183</v>
      </c>
    </row>
    <row r="800" spans="1:7" x14ac:dyDescent="0.25">
      <c r="A800" s="517">
        <v>44770</v>
      </c>
      <c r="B800" s="775" t="s">
        <v>1249</v>
      </c>
      <c r="C800" s="775"/>
      <c r="D800" s="776">
        <v>164.88</v>
      </c>
      <c r="E800" s="776"/>
      <c r="F800" s="542" t="s">
        <v>1192</v>
      </c>
      <c r="G800" s="518" t="s">
        <v>1365</v>
      </c>
    </row>
    <row r="801" spans="1:7" x14ac:dyDescent="0.25">
      <c r="A801" s="517">
        <v>44770</v>
      </c>
      <c r="B801" s="775" t="s">
        <v>1246</v>
      </c>
      <c r="C801" s="775"/>
      <c r="D801" s="776">
        <v>160.72</v>
      </c>
      <c r="E801" s="776"/>
      <c r="F801" s="542" t="s">
        <v>1182</v>
      </c>
      <c r="G801" s="521" t="s">
        <v>1359</v>
      </c>
    </row>
    <row r="802" spans="1:7" x14ac:dyDescent="0.25">
      <c r="A802" s="787" t="s">
        <v>812</v>
      </c>
      <c r="B802" s="777"/>
      <c r="C802" s="777"/>
      <c r="D802" s="800">
        <f>MEDIAN(D800:E801)</f>
        <v>162.80000000000001</v>
      </c>
      <c r="E802" s="800"/>
      <c r="F802" s="800"/>
      <c r="G802" s="801"/>
    </row>
    <row r="803" spans="1:7" x14ac:dyDescent="0.25">
      <c r="A803" s="780"/>
      <c r="B803" s="781"/>
      <c r="C803" s="781"/>
      <c r="D803" s="781"/>
      <c r="E803" s="781"/>
      <c r="F803" s="781"/>
      <c r="G803" s="782"/>
    </row>
    <row r="804" spans="1:7" ht="15" customHeight="1" x14ac:dyDescent="0.25">
      <c r="A804" s="772" t="s">
        <v>1251</v>
      </c>
      <c r="B804" s="773"/>
      <c r="C804" s="773"/>
      <c r="D804" s="773"/>
      <c r="E804" s="773"/>
      <c r="F804" s="773"/>
      <c r="G804" s="774"/>
    </row>
    <row r="805" spans="1:7" x14ac:dyDescent="0.25">
      <c r="A805" s="772"/>
      <c r="B805" s="773"/>
      <c r="C805" s="773"/>
      <c r="D805" s="773"/>
      <c r="E805" s="773"/>
      <c r="F805" s="773"/>
      <c r="G805" s="774"/>
    </row>
    <row r="806" spans="1:7" x14ac:dyDescent="0.25">
      <c r="A806" s="724" t="s">
        <v>1371</v>
      </c>
      <c r="B806" s="725"/>
      <c r="C806" s="725"/>
      <c r="D806" s="725"/>
      <c r="E806" s="725"/>
      <c r="F806" s="725"/>
      <c r="G806" s="726"/>
    </row>
    <row r="807" spans="1:7" x14ac:dyDescent="0.25">
      <c r="A807" s="780"/>
      <c r="B807" s="781"/>
      <c r="C807" s="781"/>
      <c r="D807" s="781"/>
      <c r="E807" s="781"/>
      <c r="F807" s="781"/>
      <c r="G807" s="782"/>
    </row>
    <row r="808" spans="1:7" x14ac:dyDescent="0.25">
      <c r="A808" s="790" t="s">
        <v>1468</v>
      </c>
      <c r="B808" s="791"/>
      <c r="C808" s="798" t="str">
        <f>C816</f>
        <v>PINO ROSCA EXTERNA, EM ACO GALVANIZADO, PARA ISOLADOR DE 15KV, DIAMETRO 25 MM, COMPRIMENTO *290* MM</v>
      </c>
      <c r="D808" s="798"/>
      <c r="E808" s="798"/>
      <c r="F808" s="798"/>
      <c r="G808" s="799"/>
    </row>
    <row r="809" spans="1:7" x14ac:dyDescent="0.25">
      <c r="A809" s="780"/>
      <c r="B809" s="781"/>
      <c r="C809" s="781"/>
      <c r="D809" s="781"/>
      <c r="E809" s="781"/>
      <c r="F809" s="781"/>
      <c r="G809" s="782"/>
    </row>
    <row r="810" spans="1:7" x14ac:dyDescent="0.25">
      <c r="A810" s="507" t="s">
        <v>785</v>
      </c>
      <c r="B810" s="485" t="s">
        <v>786</v>
      </c>
      <c r="C810" s="489" t="s">
        <v>787</v>
      </c>
      <c r="D810" s="490" t="s">
        <v>788</v>
      </c>
      <c r="E810" s="491" t="s">
        <v>789</v>
      </c>
      <c r="F810" s="492" t="s">
        <v>790</v>
      </c>
      <c r="G810" s="509" t="s">
        <v>791</v>
      </c>
    </row>
    <row r="811" spans="1:7" x14ac:dyDescent="0.25">
      <c r="A811" s="545">
        <v>88247</v>
      </c>
      <c r="B811" s="546" t="s">
        <v>792</v>
      </c>
      <c r="C811" s="499" t="s">
        <v>806</v>
      </c>
      <c r="D811" s="542" t="s">
        <v>799</v>
      </c>
      <c r="E811" s="495">
        <v>0.15</v>
      </c>
      <c r="F811" s="543">
        <v>19.2</v>
      </c>
      <c r="G811" s="514">
        <f>TRUNC(F811*E811,2)</f>
        <v>2.88</v>
      </c>
    </row>
    <row r="812" spans="1:7" x14ac:dyDescent="0.25">
      <c r="A812" s="545">
        <v>88264</v>
      </c>
      <c r="B812" s="546" t="s">
        <v>792</v>
      </c>
      <c r="C812" s="499" t="s">
        <v>807</v>
      </c>
      <c r="D812" s="542" t="s">
        <v>799</v>
      </c>
      <c r="E812" s="495">
        <v>0.15</v>
      </c>
      <c r="F812" s="543">
        <v>23.24</v>
      </c>
      <c r="G812" s="514">
        <f>TRUNC(F812*E812,2)</f>
        <v>3.48</v>
      </c>
    </row>
    <row r="813" spans="1:7" x14ac:dyDescent="0.25">
      <c r="A813" s="788" t="s">
        <v>21</v>
      </c>
      <c r="B813" s="789"/>
      <c r="C813" s="789"/>
      <c r="D813" s="789"/>
      <c r="E813" s="789"/>
      <c r="F813" s="789"/>
      <c r="G813" s="511">
        <f>SUM(G811:G812)</f>
        <v>6.3599999999999994</v>
      </c>
    </row>
    <row r="814" spans="1:7" x14ac:dyDescent="0.25">
      <c r="A814" s="780"/>
      <c r="B814" s="781"/>
      <c r="C814" s="781"/>
      <c r="D814" s="781"/>
      <c r="E814" s="781"/>
      <c r="F814" s="781"/>
      <c r="G814" s="782"/>
    </row>
    <row r="815" spans="1:7" x14ac:dyDescent="0.25">
      <c r="A815" s="507" t="s">
        <v>785</v>
      </c>
      <c r="B815" s="485" t="s">
        <v>786</v>
      </c>
      <c r="C815" s="489" t="s">
        <v>801</v>
      </c>
      <c r="D815" s="490" t="s">
        <v>788</v>
      </c>
      <c r="E815" s="496" t="s">
        <v>789</v>
      </c>
      <c r="F815" s="492" t="s">
        <v>790</v>
      </c>
      <c r="G815" s="509" t="s">
        <v>791</v>
      </c>
    </row>
    <row r="816" spans="1:7" ht="30" x14ac:dyDescent="0.25">
      <c r="A816" s="515">
        <v>444</v>
      </c>
      <c r="B816" s="546" t="s">
        <v>792</v>
      </c>
      <c r="C816" s="501" t="s">
        <v>1618</v>
      </c>
      <c r="D816" s="539" t="s">
        <v>62</v>
      </c>
      <c r="E816" s="498">
        <v>1</v>
      </c>
      <c r="F816" s="540">
        <v>34.200000000000003</v>
      </c>
      <c r="G816" s="514">
        <f>TRUNC(F816*E816,2)</f>
        <v>34.200000000000003</v>
      </c>
    </row>
    <row r="817" spans="1:7" x14ac:dyDescent="0.25">
      <c r="A817" s="788" t="s">
        <v>21</v>
      </c>
      <c r="B817" s="789"/>
      <c r="C817" s="789"/>
      <c r="D817" s="789"/>
      <c r="E817" s="789"/>
      <c r="F817" s="789"/>
      <c r="G817" s="511">
        <f>SUM(G816:G816)</f>
        <v>34.200000000000003</v>
      </c>
    </row>
    <row r="818" spans="1:7" x14ac:dyDescent="0.25">
      <c r="A818" s="797" t="s">
        <v>796</v>
      </c>
      <c r="B818" s="786"/>
      <c r="C818" s="786"/>
      <c r="D818" s="786"/>
      <c r="E818" s="786"/>
      <c r="F818" s="786"/>
      <c r="G818" s="512">
        <f>G813+G817</f>
        <v>40.56</v>
      </c>
    </row>
    <row r="819" spans="1:7" x14ac:dyDescent="0.25">
      <c r="A819" s="780"/>
      <c r="B819" s="781"/>
      <c r="C819" s="781"/>
      <c r="D819" s="781"/>
      <c r="E819" s="781"/>
      <c r="F819" s="781"/>
      <c r="G819" s="782"/>
    </row>
    <row r="820" spans="1:7" x14ac:dyDescent="0.25">
      <c r="A820" s="772" t="s">
        <v>1236</v>
      </c>
      <c r="B820" s="773"/>
      <c r="C820" s="773"/>
      <c r="D820" s="773"/>
      <c r="E820" s="773"/>
      <c r="F820" s="773"/>
      <c r="G820" s="774"/>
    </row>
    <row r="821" spans="1:7" x14ac:dyDescent="0.25">
      <c r="A821" s="772"/>
      <c r="B821" s="773"/>
      <c r="C821" s="773"/>
      <c r="D821" s="773"/>
      <c r="E821" s="773"/>
      <c r="F821" s="773"/>
      <c r="G821" s="774"/>
    </row>
    <row r="822" spans="1:7" x14ac:dyDescent="0.25">
      <c r="A822" s="780"/>
      <c r="B822" s="781"/>
      <c r="C822" s="781"/>
      <c r="D822" s="781"/>
      <c r="E822" s="781"/>
      <c r="F822" s="781"/>
      <c r="G822" s="782"/>
    </row>
    <row r="823" spans="1:7" x14ac:dyDescent="0.25">
      <c r="A823" s="790" t="s">
        <v>1469</v>
      </c>
      <c r="B823" s="791"/>
      <c r="C823" s="792" t="str">
        <f>B835</f>
        <v>ISOLADOR PINO POLIMÉRICO 15KV</v>
      </c>
      <c r="D823" s="792"/>
      <c r="E823" s="792"/>
      <c r="F823" s="792"/>
      <c r="G823" s="793"/>
    </row>
    <row r="824" spans="1:7" x14ac:dyDescent="0.25">
      <c r="A824" s="780"/>
      <c r="B824" s="781"/>
      <c r="C824" s="781"/>
      <c r="D824" s="781"/>
      <c r="E824" s="781"/>
      <c r="F824" s="781"/>
      <c r="G824" s="782"/>
    </row>
    <row r="825" spans="1:7" x14ac:dyDescent="0.25">
      <c r="A825" s="507" t="s">
        <v>785</v>
      </c>
      <c r="B825" s="485" t="s">
        <v>786</v>
      </c>
      <c r="C825" s="489" t="s">
        <v>787</v>
      </c>
      <c r="D825" s="490" t="s">
        <v>788</v>
      </c>
      <c r="E825" s="491" t="s">
        <v>789</v>
      </c>
      <c r="F825" s="492" t="s">
        <v>790</v>
      </c>
      <c r="G825" s="509" t="s">
        <v>791</v>
      </c>
    </row>
    <row r="826" spans="1:7" x14ac:dyDescent="0.25">
      <c r="A826" s="545">
        <v>88247</v>
      </c>
      <c r="B826" s="546" t="s">
        <v>792</v>
      </c>
      <c r="C826" s="499" t="s">
        <v>806</v>
      </c>
      <c r="D826" s="542" t="s">
        <v>799</v>
      </c>
      <c r="E826" s="495">
        <v>0.15</v>
      </c>
      <c r="F826" s="543">
        <v>19.2</v>
      </c>
      <c r="G826" s="514">
        <f>TRUNC(F826*E826,2)</f>
        <v>2.88</v>
      </c>
    </row>
    <row r="827" spans="1:7" x14ac:dyDescent="0.25">
      <c r="A827" s="545">
        <v>88264</v>
      </c>
      <c r="B827" s="546" t="s">
        <v>792</v>
      </c>
      <c r="C827" s="499" t="s">
        <v>807</v>
      </c>
      <c r="D827" s="542" t="s">
        <v>799</v>
      </c>
      <c r="E827" s="495">
        <v>0.15</v>
      </c>
      <c r="F827" s="543">
        <v>23.24</v>
      </c>
      <c r="G827" s="514">
        <f>TRUNC(F827*E827,2)</f>
        <v>3.48</v>
      </c>
    </row>
    <row r="828" spans="1:7" x14ac:dyDescent="0.25">
      <c r="A828" s="788" t="s">
        <v>21</v>
      </c>
      <c r="B828" s="789"/>
      <c r="C828" s="789"/>
      <c r="D828" s="789"/>
      <c r="E828" s="789"/>
      <c r="F828" s="789"/>
      <c r="G828" s="511">
        <f>SUM(G826:G827)</f>
        <v>6.3599999999999994</v>
      </c>
    </row>
    <row r="829" spans="1:7" x14ac:dyDescent="0.25">
      <c r="A829" s="780"/>
      <c r="B829" s="781"/>
      <c r="C829" s="781"/>
      <c r="D829" s="781"/>
      <c r="E829" s="781"/>
      <c r="F829" s="781"/>
      <c r="G829" s="782"/>
    </row>
    <row r="830" spans="1:7" x14ac:dyDescent="0.25">
      <c r="A830" s="507" t="s">
        <v>785</v>
      </c>
      <c r="B830" s="485" t="s">
        <v>786</v>
      </c>
      <c r="C830" s="489" t="s">
        <v>801</v>
      </c>
      <c r="D830" s="490" t="s">
        <v>788</v>
      </c>
      <c r="E830" s="496" t="s">
        <v>789</v>
      </c>
      <c r="F830" s="492" t="s">
        <v>790</v>
      </c>
      <c r="G830" s="509" t="s">
        <v>791</v>
      </c>
    </row>
    <row r="831" spans="1:7" x14ac:dyDescent="0.25">
      <c r="A831" s="515" t="s">
        <v>815</v>
      </c>
      <c r="B831" s="546" t="s">
        <v>808</v>
      </c>
      <c r="C831" s="501" t="str">
        <f>B835</f>
        <v>ISOLADOR PINO POLIMÉRICO 15KV</v>
      </c>
      <c r="D831" s="539" t="s">
        <v>62</v>
      </c>
      <c r="E831" s="498">
        <v>1</v>
      </c>
      <c r="F831" s="540">
        <f>D840</f>
        <v>40.4</v>
      </c>
      <c r="G831" s="514">
        <f>TRUNC(F831*E831,2)</f>
        <v>40.4</v>
      </c>
    </row>
    <row r="832" spans="1:7" x14ac:dyDescent="0.25">
      <c r="A832" s="788" t="s">
        <v>21</v>
      </c>
      <c r="B832" s="789"/>
      <c r="C832" s="789"/>
      <c r="D832" s="789"/>
      <c r="E832" s="789"/>
      <c r="F832" s="789"/>
      <c r="G832" s="511">
        <f>SUM(G831:G831)</f>
        <v>40.4</v>
      </c>
    </row>
    <row r="833" spans="1:7" x14ac:dyDescent="0.25">
      <c r="A833" s="797" t="s">
        <v>796</v>
      </c>
      <c r="B833" s="786"/>
      <c r="C833" s="786"/>
      <c r="D833" s="786"/>
      <c r="E833" s="786"/>
      <c r="F833" s="786"/>
      <c r="G833" s="512">
        <f>G828+G832</f>
        <v>46.76</v>
      </c>
    </row>
    <row r="834" spans="1:7" x14ac:dyDescent="0.25">
      <c r="A834" s="780"/>
      <c r="B834" s="781"/>
      <c r="C834" s="781"/>
      <c r="D834" s="781"/>
      <c r="E834" s="781"/>
      <c r="F834" s="781"/>
      <c r="G834" s="782"/>
    </row>
    <row r="835" spans="1:7" ht="15" customHeight="1" x14ac:dyDescent="0.25">
      <c r="A835" s="544" t="s">
        <v>809</v>
      </c>
      <c r="B835" s="802" t="s">
        <v>1197</v>
      </c>
      <c r="C835" s="802"/>
      <c r="D835" s="802"/>
      <c r="E835" s="802"/>
      <c r="F835" s="802"/>
      <c r="G835" s="809"/>
    </row>
    <row r="836" spans="1:7" ht="15" customHeight="1" x14ac:dyDescent="0.25">
      <c r="A836" s="513"/>
      <c r="B836" s="728" t="s">
        <v>1247</v>
      </c>
      <c r="C836" s="728"/>
      <c r="D836" s="784" t="s">
        <v>810</v>
      </c>
      <c r="E836" s="784"/>
      <c r="F836" s="541" t="s">
        <v>811</v>
      </c>
      <c r="G836" s="516" t="s">
        <v>1183</v>
      </c>
    </row>
    <row r="837" spans="1:7" ht="15" customHeight="1" x14ac:dyDescent="0.25">
      <c r="A837" s="517">
        <v>44740</v>
      </c>
      <c r="B837" s="775" t="s">
        <v>1358</v>
      </c>
      <c r="C837" s="775"/>
      <c r="D837" s="776">
        <v>28.8</v>
      </c>
      <c r="E837" s="776"/>
      <c r="F837" s="542" t="s">
        <v>1212</v>
      </c>
      <c r="G837" s="518" t="s">
        <v>1359</v>
      </c>
    </row>
    <row r="838" spans="1:7" s="381" customFormat="1" ht="15" customHeight="1" x14ac:dyDescent="0.25">
      <c r="A838" s="519">
        <v>44741</v>
      </c>
      <c r="B838" s="785" t="s">
        <v>1362</v>
      </c>
      <c r="C838" s="785"/>
      <c r="D838" s="783">
        <v>92.81</v>
      </c>
      <c r="E838" s="783"/>
      <c r="F838" s="539" t="s">
        <v>1182</v>
      </c>
      <c r="G838" s="520" t="s">
        <v>1363</v>
      </c>
    </row>
    <row r="839" spans="1:7" x14ac:dyDescent="0.25">
      <c r="A839" s="519">
        <v>44741</v>
      </c>
      <c r="B839" s="785" t="s">
        <v>1248</v>
      </c>
      <c r="C839" s="785"/>
      <c r="D839" s="783">
        <v>40.4</v>
      </c>
      <c r="E839" s="783"/>
      <c r="F839" s="539" t="s">
        <v>1360</v>
      </c>
      <c r="G839" s="520" t="s">
        <v>1361</v>
      </c>
    </row>
    <row r="840" spans="1:7" ht="15.75" customHeight="1" x14ac:dyDescent="0.25">
      <c r="A840" s="787" t="s">
        <v>812</v>
      </c>
      <c r="B840" s="777"/>
      <c r="C840" s="777"/>
      <c r="D840" s="800">
        <f>MEDIAN(D837:E839)</f>
        <v>40.4</v>
      </c>
      <c r="E840" s="800"/>
      <c r="F840" s="800"/>
      <c r="G840" s="801"/>
    </row>
    <row r="841" spans="1:7" x14ac:dyDescent="0.25">
      <c r="A841" s="780"/>
      <c r="B841" s="781"/>
      <c r="C841" s="781"/>
      <c r="D841" s="781"/>
      <c r="E841" s="781"/>
      <c r="F841" s="781"/>
      <c r="G841" s="782"/>
    </row>
    <row r="842" spans="1:7" x14ac:dyDescent="0.25">
      <c r="A842" s="772" t="s">
        <v>1235</v>
      </c>
      <c r="B842" s="773"/>
      <c r="C842" s="773"/>
      <c r="D842" s="773"/>
      <c r="E842" s="773"/>
      <c r="F842" s="773"/>
      <c r="G842" s="774"/>
    </row>
    <row r="843" spans="1:7" x14ac:dyDescent="0.25">
      <c r="A843" s="772"/>
      <c r="B843" s="773"/>
      <c r="C843" s="773"/>
      <c r="D843" s="773"/>
      <c r="E843" s="773"/>
      <c r="F843" s="773"/>
      <c r="G843" s="774"/>
    </row>
    <row r="844" spans="1:7" x14ac:dyDescent="0.25">
      <c r="A844" s="780"/>
      <c r="B844" s="781"/>
      <c r="C844" s="781"/>
      <c r="D844" s="781"/>
      <c r="E844" s="781"/>
      <c r="F844" s="781"/>
      <c r="G844" s="782"/>
    </row>
    <row r="845" spans="1:7" x14ac:dyDescent="0.25">
      <c r="A845" s="790" t="s">
        <v>1470</v>
      </c>
      <c r="B845" s="791"/>
      <c r="C845" s="792" t="str">
        <f>B857</f>
        <v>OLHAL PARA PARAFUSO</v>
      </c>
      <c r="D845" s="792"/>
      <c r="E845" s="792"/>
      <c r="F845" s="792"/>
      <c r="G845" s="793"/>
    </row>
    <row r="846" spans="1:7" x14ac:dyDescent="0.25">
      <c r="A846" s="780"/>
      <c r="B846" s="781"/>
      <c r="C846" s="781"/>
      <c r="D846" s="781"/>
      <c r="E846" s="781"/>
      <c r="F846" s="781"/>
      <c r="G846" s="782"/>
    </row>
    <row r="847" spans="1:7" x14ac:dyDescent="0.25">
      <c r="A847" s="507" t="s">
        <v>785</v>
      </c>
      <c r="B847" s="485" t="s">
        <v>786</v>
      </c>
      <c r="C847" s="489" t="s">
        <v>787</v>
      </c>
      <c r="D847" s="490" t="s">
        <v>788</v>
      </c>
      <c r="E847" s="491" t="s">
        <v>789</v>
      </c>
      <c r="F847" s="492" t="s">
        <v>790</v>
      </c>
      <c r="G847" s="509" t="s">
        <v>791</v>
      </c>
    </row>
    <row r="848" spans="1:7" x14ac:dyDescent="0.25">
      <c r="A848" s="545">
        <v>88247</v>
      </c>
      <c r="B848" s="546" t="s">
        <v>792</v>
      </c>
      <c r="C848" s="499" t="s">
        <v>806</v>
      </c>
      <c r="D848" s="542" t="s">
        <v>799</v>
      </c>
      <c r="E848" s="495">
        <v>0.5</v>
      </c>
      <c r="F848" s="543">
        <v>19.2</v>
      </c>
      <c r="G848" s="514">
        <f>TRUNC(F848*E848,2)</f>
        <v>9.6</v>
      </c>
    </row>
    <row r="849" spans="1:7" x14ac:dyDescent="0.25">
      <c r="A849" s="545">
        <v>88264</v>
      </c>
      <c r="B849" s="546" t="s">
        <v>792</v>
      </c>
      <c r="C849" s="499" t="s">
        <v>807</v>
      </c>
      <c r="D849" s="542" t="s">
        <v>799</v>
      </c>
      <c r="E849" s="495">
        <v>0.5</v>
      </c>
      <c r="F849" s="543">
        <v>23.24</v>
      </c>
      <c r="G849" s="514">
        <f>TRUNC(F849*E849,2)</f>
        <v>11.62</v>
      </c>
    </row>
    <row r="850" spans="1:7" x14ac:dyDescent="0.25">
      <c r="A850" s="788" t="s">
        <v>21</v>
      </c>
      <c r="B850" s="789"/>
      <c r="C850" s="789"/>
      <c r="D850" s="789"/>
      <c r="E850" s="789"/>
      <c r="F850" s="789"/>
      <c r="G850" s="511">
        <f>SUM(G848:G849)</f>
        <v>21.22</v>
      </c>
    </row>
    <row r="851" spans="1:7" x14ac:dyDescent="0.25">
      <c r="A851" s="780"/>
      <c r="B851" s="781"/>
      <c r="C851" s="781"/>
      <c r="D851" s="781"/>
      <c r="E851" s="781"/>
      <c r="F851" s="781"/>
      <c r="G851" s="782"/>
    </row>
    <row r="852" spans="1:7" x14ac:dyDescent="0.25">
      <c r="A852" s="507" t="s">
        <v>785</v>
      </c>
      <c r="B852" s="485" t="s">
        <v>786</v>
      </c>
      <c r="C852" s="489" t="s">
        <v>801</v>
      </c>
      <c r="D852" s="490" t="s">
        <v>788</v>
      </c>
      <c r="E852" s="496" t="s">
        <v>789</v>
      </c>
      <c r="F852" s="492" t="s">
        <v>790</v>
      </c>
      <c r="G852" s="509" t="s">
        <v>791</v>
      </c>
    </row>
    <row r="853" spans="1:7" x14ac:dyDescent="0.25">
      <c r="A853" s="515" t="s">
        <v>815</v>
      </c>
      <c r="B853" s="546" t="s">
        <v>808</v>
      </c>
      <c r="C853" s="501" t="str">
        <f>B857</f>
        <v>OLHAL PARA PARAFUSO</v>
      </c>
      <c r="D853" s="539" t="s">
        <v>62</v>
      </c>
      <c r="E853" s="498">
        <v>1</v>
      </c>
      <c r="F853" s="540">
        <f>D862</f>
        <v>21.07</v>
      </c>
      <c r="G853" s="514">
        <f>TRUNC(F853*E853,2)</f>
        <v>21.07</v>
      </c>
    </row>
    <row r="854" spans="1:7" x14ac:dyDescent="0.25">
      <c r="A854" s="788" t="s">
        <v>21</v>
      </c>
      <c r="B854" s="789"/>
      <c r="C854" s="789"/>
      <c r="D854" s="789"/>
      <c r="E854" s="789"/>
      <c r="F854" s="789"/>
      <c r="G854" s="511">
        <f>SUM(G853:G853)</f>
        <v>21.07</v>
      </c>
    </row>
    <row r="855" spans="1:7" x14ac:dyDescent="0.25">
      <c r="A855" s="797" t="s">
        <v>796</v>
      </c>
      <c r="B855" s="786"/>
      <c r="C855" s="786"/>
      <c r="D855" s="786"/>
      <c r="E855" s="786"/>
      <c r="F855" s="786"/>
      <c r="G855" s="512">
        <f>G850+G854</f>
        <v>42.29</v>
      </c>
    </row>
    <row r="856" spans="1:7" x14ac:dyDescent="0.25">
      <c r="A856" s="780"/>
      <c r="B856" s="781"/>
      <c r="C856" s="781"/>
      <c r="D856" s="781"/>
      <c r="E856" s="781"/>
      <c r="F856" s="781"/>
      <c r="G856" s="782"/>
    </row>
    <row r="857" spans="1:7" x14ac:dyDescent="0.25">
      <c r="A857" s="544" t="s">
        <v>809</v>
      </c>
      <c r="B857" s="802" t="s">
        <v>1510</v>
      </c>
      <c r="C857" s="802"/>
      <c r="D857" s="784"/>
      <c r="E857" s="784"/>
      <c r="F857" s="502"/>
      <c r="G857" s="516"/>
    </row>
    <row r="858" spans="1:7" ht="15" customHeight="1" x14ac:dyDescent="0.25">
      <c r="A858" s="513"/>
      <c r="B858" s="728" t="s">
        <v>1247</v>
      </c>
      <c r="C858" s="728"/>
      <c r="D858" s="784" t="s">
        <v>810</v>
      </c>
      <c r="E858" s="784"/>
      <c r="F858" s="541" t="s">
        <v>811</v>
      </c>
      <c r="G858" s="516" t="s">
        <v>1183</v>
      </c>
    </row>
    <row r="859" spans="1:7" ht="15" customHeight="1" x14ac:dyDescent="0.25">
      <c r="A859" s="517">
        <v>44740</v>
      </c>
      <c r="B859" s="775" t="s">
        <v>1358</v>
      </c>
      <c r="C859" s="775"/>
      <c r="D859" s="776">
        <v>43.69</v>
      </c>
      <c r="E859" s="776"/>
      <c r="F859" s="542" t="s">
        <v>1212</v>
      </c>
      <c r="G859" s="518" t="s">
        <v>1359</v>
      </c>
    </row>
    <row r="860" spans="1:7" s="381" customFormat="1" ht="15" customHeight="1" x14ac:dyDescent="0.25">
      <c r="A860" s="519">
        <v>44741</v>
      </c>
      <c r="B860" s="785" t="s">
        <v>1362</v>
      </c>
      <c r="C860" s="785"/>
      <c r="D860" s="783">
        <v>19.36</v>
      </c>
      <c r="E860" s="783"/>
      <c r="F860" s="539" t="s">
        <v>1182</v>
      </c>
      <c r="G860" s="520" t="s">
        <v>1363</v>
      </c>
    </row>
    <row r="861" spans="1:7" x14ac:dyDescent="0.25">
      <c r="A861" s="519">
        <v>44741</v>
      </c>
      <c r="B861" s="785" t="s">
        <v>1248</v>
      </c>
      <c r="C861" s="785"/>
      <c r="D861" s="783">
        <v>21.07</v>
      </c>
      <c r="E861" s="783"/>
      <c r="F861" s="539" t="s">
        <v>1360</v>
      </c>
      <c r="G861" s="520" t="s">
        <v>1361</v>
      </c>
    </row>
    <row r="862" spans="1:7" x14ac:dyDescent="0.25">
      <c r="A862" s="787" t="s">
        <v>812</v>
      </c>
      <c r="B862" s="777"/>
      <c r="C862" s="777"/>
      <c r="D862" s="800">
        <f>MEDIAN(D859:E861)</f>
        <v>21.07</v>
      </c>
      <c r="E862" s="800"/>
      <c r="F862" s="800"/>
      <c r="G862" s="801"/>
    </row>
    <row r="863" spans="1:7" x14ac:dyDescent="0.25">
      <c r="A863" s="780"/>
      <c r="B863" s="781"/>
      <c r="C863" s="781"/>
      <c r="D863" s="781"/>
      <c r="E863" s="781"/>
      <c r="F863" s="781"/>
      <c r="G863" s="782"/>
    </row>
    <row r="864" spans="1:7" x14ac:dyDescent="0.25">
      <c r="A864" s="772" t="s">
        <v>1221</v>
      </c>
      <c r="B864" s="773"/>
      <c r="C864" s="773"/>
      <c r="D864" s="773"/>
      <c r="E864" s="773"/>
      <c r="F864" s="773"/>
      <c r="G864" s="774"/>
    </row>
    <row r="865" spans="1:7" x14ac:dyDescent="0.25">
      <c r="A865" s="772"/>
      <c r="B865" s="773"/>
      <c r="C865" s="773"/>
      <c r="D865" s="773"/>
      <c r="E865" s="773"/>
      <c r="F865" s="773"/>
      <c r="G865" s="774"/>
    </row>
    <row r="866" spans="1:7" x14ac:dyDescent="0.25">
      <c r="A866" s="780"/>
      <c r="B866" s="781"/>
      <c r="C866" s="781"/>
      <c r="D866" s="781"/>
      <c r="E866" s="781"/>
      <c r="F866" s="781"/>
      <c r="G866" s="782"/>
    </row>
    <row r="867" spans="1:7" ht="32.25" customHeight="1" x14ac:dyDescent="0.25">
      <c r="A867" s="790" t="s">
        <v>1471</v>
      </c>
      <c r="B867" s="791"/>
      <c r="C867" s="844" t="str">
        <f>C875</f>
        <v>CINTA CIRCULAR EM ACO GALVANIZADO DE 150 MM DE DIAMETRO PARA FIXACAO DE CAIXA MEDICAO, INCLUI PARAFUSOS E PORCAS</v>
      </c>
      <c r="D867" s="844"/>
      <c r="E867" s="844"/>
      <c r="F867" s="844"/>
      <c r="G867" s="845"/>
    </row>
    <row r="868" spans="1:7" x14ac:dyDescent="0.25">
      <c r="A868" s="780"/>
      <c r="B868" s="781"/>
      <c r="C868" s="781"/>
      <c r="D868" s="781"/>
      <c r="E868" s="781"/>
      <c r="F868" s="781"/>
      <c r="G868" s="782"/>
    </row>
    <row r="869" spans="1:7" x14ac:dyDescent="0.25">
      <c r="A869" s="507" t="s">
        <v>785</v>
      </c>
      <c r="B869" s="485" t="s">
        <v>786</v>
      </c>
      <c r="C869" s="489" t="s">
        <v>787</v>
      </c>
      <c r="D869" s="490" t="s">
        <v>788</v>
      </c>
      <c r="E869" s="491" t="s">
        <v>789</v>
      </c>
      <c r="F869" s="492" t="s">
        <v>790</v>
      </c>
      <c r="G869" s="509" t="s">
        <v>791</v>
      </c>
    </row>
    <row r="870" spans="1:7" x14ac:dyDescent="0.25">
      <c r="A870" s="545">
        <v>88247</v>
      </c>
      <c r="B870" s="546" t="s">
        <v>792</v>
      </c>
      <c r="C870" s="499" t="s">
        <v>806</v>
      </c>
      <c r="D870" s="542" t="s">
        <v>799</v>
      </c>
      <c r="E870" s="495">
        <v>0.03</v>
      </c>
      <c r="F870" s="543">
        <v>19.2</v>
      </c>
      <c r="G870" s="514">
        <f>TRUNC(F870*E870,2)</f>
        <v>0.56999999999999995</v>
      </c>
    </row>
    <row r="871" spans="1:7" x14ac:dyDescent="0.25">
      <c r="A871" s="545">
        <v>88264</v>
      </c>
      <c r="B871" s="546" t="s">
        <v>792</v>
      </c>
      <c r="C871" s="499" t="s">
        <v>807</v>
      </c>
      <c r="D871" s="542" t="s">
        <v>799</v>
      </c>
      <c r="E871" s="495">
        <v>0.03</v>
      </c>
      <c r="F871" s="543">
        <v>23.24</v>
      </c>
      <c r="G871" s="514">
        <f>TRUNC(F871*E871,2)</f>
        <v>0.69</v>
      </c>
    </row>
    <row r="872" spans="1:7" x14ac:dyDescent="0.25">
      <c r="A872" s="788" t="s">
        <v>21</v>
      </c>
      <c r="B872" s="789"/>
      <c r="C872" s="789"/>
      <c r="D872" s="789"/>
      <c r="E872" s="789"/>
      <c r="F872" s="789"/>
      <c r="G872" s="511">
        <f>SUM(G870:G871)</f>
        <v>1.2599999999999998</v>
      </c>
    </row>
    <row r="873" spans="1:7" x14ac:dyDescent="0.25">
      <c r="A873" s="780"/>
      <c r="B873" s="781"/>
      <c r="C873" s="781"/>
      <c r="D873" s="781"/>
      <c r="E873" s="781"/>
      <c r="F873" s="781"/>
      <c r="G873" s="782"/>
    </row>
    <row r="874" spans="1:7" x14ac:dyDescent="0.25">
      <c r="A874" s="507" t="s">
        <v>785</v>
      </c>
      <c r="B874" s="485" t="s">
        <v>786</v>
      </c>
      <c r="C874" s="489" t="s">
        <v>801</v>
      </c>
      <c r="D874" s="490" t="s">
        <v>788</v>
      </c>
      <c r="E874" s="496" t="s">
        <v>789</v>
      </c>
      <c r="F874" s="492" t="s">
        <v>790</v>
      </c>
      <c r="G874" s="509" t="s">
        <v>791</v>
      </c>
    </row>
    <row r="875" spans="1:7" ht="30" x14ac:dyDescent="0.25">
      <c r="A875" s="515">
        <v>420</v>
      </c>
      <c r="B875" s="546" t="s">
        <v>792</v>
      </c>
      <c r="C875" s="501" t="s">
        <v>1619</v>
      </c>
      <c r="D875" s="539" t="s">
        <v>62</v>
      </c>
      <c r="E875" s="498">
        <v>1</v>
      </c>
      <c r="F875" s="540">
        <v>38.76</v>
      </c>
      <c r="G875" s="514">
        <f>TRUNC(F875*E875,2)</f>
        <v>38.76</v>
      </c>
    </row>
    <row r="876" spans="1:7" x14ac:dyDescent="0.25">
      <c r="A876" s="788" t="s">
        <v>21</v>
      </c>
      <c r="B876" s="789"/>
      <c r="C876" s="789"/>
      <c r="D876" s="789"/>
      <c r="E876" s="789"/>
      <c r="F876" s="789"/>
      <c r="G876" s="511">
        <f>SUM(G875:G875)</f>
        <v>38.76</v>
      </c>
    </row>
    <row r="877" spans="1:7" x14ac:dyDescent="0.25">
      <c r="A877" s="797" t="s">
        <v>796</v>
      </c>
      <c r="B877" s="786"/>
      <c r="C877" s="786"/>
      <c r="D877" s="786"/>
      <c r="E877" s="786"/>
      <c r="F877" s="786"/>
      <c r="G877" s="512">
        <f>G872+G876</f>
        <v>40.019999999999996</v>
      </c>
    </row>
    <row r="878" spans="1:7" x14ac:dyDescent="0.25">
      <c r="A878" s="780"/>
      <c r="B878" s="781"/>
      <c r="C878" s="781"/>
      <c r="D878" s="781"/>
      <c r="E878" s="781"/>
      <c r="F878" s="781"/>
      <c r="G878" s="782"/>
    </row>
    <row r="879" spans="1:7" x14ac:dyDescent="0.25">
      <c r="A879" s="772" t="s">
        <v>1245</v>
      </c>
      <c r="B879" s="773"/>
      <c r="C879" s="773"/>
      <c r="D879" s="773"/>
      <c r="E879" s="773"/>
      <c r="F879" s="773"/>
      <c r="G879" s="774"/>
    </row>
    <row r="880" spans="1:7" x14ac:dyDescent="0.25">
      <c r="A880" s="772"/>
      <c r="B880" s="773"/>
      <c r="C880" s="773"/>
      <c r="D880" s="773"/>
      <c r="E880" s="773"/>
      <c r="F880" s="773"/>
      <c r="G880" s="774"/>
    </row>
    <row r="881" spans="1:7" x14ac:dyDescent="0.25">
      <c r="A881" s="780"/>
      <c r="B881" s="781"/>
      <c r="C881" s="781"/>
      <c r="D881" s="781"/>
      <c r="E881" s="781"/>
      <c r="F881" s="781"/>
      <c r="G881" s="782"/>
    </row>
    <row r="882" spans="1:7" x14ac:dyDescent="0.25">
      <c r="A882" s="790" t="s">
        <v>1472</v>
      </c>
      <c r="B882" s="791"/>
      <c r="C882" s="834" t="str">
        <f>C890</f>
        <v>GRAMPO OLHAL PARA HASTE DE ATERRAMENTO 5/8''</v>
      </c>
      <c r="D882" s="834"/>
      <c r="E882" s="834"/>
      <c r="F882" s="834"/>
      <c r="G882" s="835"/>
    </row>
    <row r="883" spans="1:7" x14ac:dyDescent="0.25">
      <c r="A883" s="780"/>
      <c r="B883" s="781"/>
      <c r="C883" s="781"/>
      <c r="D883" s="781"/>
      <c r="E883" s="781"/>
      <c r="F883" s="781"/>
      <c r="G883" s="782"/>
    </row>
    <row r="884" spans="1:7" s="381" customFormat="1" x14ac:dyDescent="0.25">
      <c r="A884" s="507" t="s">
        <v>785</v>
      </c>
      <c r="B884" s="485" t="s">
        <v>786</v>
      </c>
      <c r="C884" s="489" t="s">
        <v>787</v>
      </c>
      <c r="D884" s="490" t="s">
        <v>788</v>
      </c>
      <c r="E884" s="491" t="s">
        <v>789</v>
      </c>
      <c r="F884" s="492" t="s">
        <v>790</v>
      </c>
      <c r="G884" s="509" t="s">
        <v>791</v>
      </c>
    </row>
    <row r="885" spans="1:7" s="381" customFormat="1" x14ac:dyDescent="0.25">
      <c r="A885" s="545">
        <v>88247</v>
      </c>
      <c r="B885" s="546" t="s">
        <v>792</v>
      </c>
      <c r="C885" s="499" t="s">
        <v>806</v>
      </c>
      <c r="D885" s="542" t="s">
        <v>799</v>
      </c>
      <c r="E885" s="495">
        <v>0.31900000000000001</v>
      </c>
      <c r="F885" s="543">
        <v>19.2</v>
      </c>
      <c r="G885" s="514">
        <f>TRUNC(F885*E885,2)</f>
        <v>6.12</v>
      </c>
    </row>
    <row r="886" spans="1:7" s="381" customFormat="1" x14ac:dyDescent="0.25">
      <c r="A886" s="545">
        <v>88264</v>
      </c>
      <c r="B886" s="546" t="s">
        <v>792</v>
      </c>
      <c r="C886" s="499" t="s">
        <v>807</v>
      </c>
      <c r="D886" s="542" t="s">
        <v>799</v>
      </c>
      <c r="E886" s="495">
        <v>0.31900000000000001</v>
      </c>
      <c r="F886" s="543">
        <v>23.24</v>
      </c>
      <c r="G886" s="514">
        <f>TRUNC(F886*E886,2)</f>
        <v>7.41</v>
      </c>
    </row>
    <row r="887" spans="1:7" x14ac:dyDescent="0.25">
      <c r="A887" s="788" t="s">
        <v>21</v>
      </c>
      <c r="B887" s="789"/>
      <c r="C887" s="789"/>
      <c r="D887" s="789"/>
      <c r="E887" s="789"/>
      <c r="F887" s="789"/>
      <c r="G887" s="511">
        <f>SUM(G885:G886)</f>
        <v>13.530000000000001</v>
      </c>
    </row>
    <row r="888" spans="1:7" x14ac:dyDescent="0.25">
      <c r="A888" s="780"/>
      <c r="B888" s="781"/>
      <c r="C888" s="781"/>
      <c r="D888" s="781"/>
      <c r="E888" s="781"/>
      <c r="F888" s="781"/>
      <c r="G888" s="782"/>
    </row>
    <row r="889" spans="1:7" s="381" customFormat="1" x14ac:dyDescent="0.25">
      <c r="A889" s="507" t="s">
        <v>785</v>
      </c>
      <c r="B889" s="485" t="s">
        <v>786</v>
      </c>
      <c r="C889" s="489" t="s">
        <v>801</v>
      </c>
      <c r="D889" s="490" t="s">
        <v>788</v>
      </c>
      <c r="E889" s="496" t="s">
        <v>789</v>
      </c>
      <c r="F889" s="492" t="s">
        <v>790</v>
      </c>
      <c r="G889" s="509" t="s">
        <v>791</v>
      </c>
    </row>
    <row r="890" spans="1:7" x14ac:dyDescent="0.25">
      <c r="A890" s="545">
        <v>425</v>
      </c>
      <c r="B890" s="546" t="s">
        <v>792</v>
      </c>
      <c r="C890" s="499" t="s">
        <v>1263</v>
      </c>
      <c r="D890" s="539" t="s">
        <v>62</v>
      </c>
      <c r="E890" s="498">
        <v>1</v>
      </c>
      <c r="F890" s="540">
        <v>6.53</v>
      </c>
      <c r="G890" s="510">
        <f t="shared" ref="G890" si="19">TRUNC(E890*F890,2)</f>
        <v>6.53</v>
      </c>
    </row>
    <row r="891" spans="1:7" x14ac:dyDescent="0.25">
      <c r="A891" s="788" t="s">
        <v>21</v>
      </c>
      <c r="B891" s="789"/>
      <c r="C891" s="789"/>
      <c r="D891" s="789"/>
      <c r="E891" s="789"/>
      <c r="F891" s="789"/>
      <c r="G891" s="511">
        <f>SUM(G890:G890)</f>
        <v>6.53</v>
      </c>
    </row>
    <row r="892" spans="1:7" x14ac:dyDescent="0.25">
      <c r="A892" s="797" t="s">
        <v>796</v>
      </c>
      <c r="B892" s="786"/>
      <c r="C892" s="786"/>
      <c r="D892" s="786"/>
      <c r="E892" s="786"/>
      <c r="F892" s="786"/>
      <c r="G892" s="512">
        <f>G887+G891</f>
        <v>20.060000000000002</v>
      </c>
    </row>
    <row r="893" spans="1:7" x14ac:dyDescent="0.25">
      <c r="A893" s="780"/>
      <c r="B893" s="781"/>
      <c r="C893" s="781"/>
      <c r="D893" s="781"/>
      <c r="E893" s="781"/>
      <c r="F893" s="781"/>
      <c r="G893" s="782"/>
    </row>
    <row r="894" spans="1:7" x14ac:dyDescent="0.25">
      <c r="A894" s="772" t="s">
        <v>1262</v>
      </c>
      <c r="B894" s="773"/>
      <c r="C894" s="773"/>
      <c r="D894" s="773"/>
      <c r="E894" s="773"/>
      <c r="F894" s="773"/>
      <c r="G894" s="774"/>
    </row>
    <row r="895" spans="1:7" x14ac:dyDescent="0.25">
      <c r="A895" s="772"/>
      <c r="B895" s="773"/>
      <c r="C895" s="773"/>
      <c r="D895" s="773"/>
      <c r="E895" s="773"/>
      <c r="F895" s="773"/>
      <c r="G895" s="774"/>
    </row>
    <row r="896" spans="1:7" x14ac:dyDescent="0.25">
      <c r="A896" s="780"/>
      <c r="B896" s="781"/>
      <c r="C896" s="781"/>
      <c r="D896" s="781"/>
      <c r="E896" s="781"/>
      <c r="F896" s="781"/>
      <c r="G896" s="782"/>
    </row>
    <row r="897" spans="1:7" x14ac:dyDescent="0.25">
      <c r="A897" s="790" t="s">
        <v>1473</v>
      </c>
      <c r="B897" s="791"/>
      <c r="C897" s="798" t="str">
        <f>C905</f>
        <v>LUVA PARA ELETRODUTO, EM ACO GALVANIZADO ELETROLITICO, DIAMETRO DE 80 MM (3")</v>
      </c>
      <c r="D897" s="798"/>
      <c r="E897" s="798"/>
      <c r="F897" s="798"/>
      <c r="G897" s="799"/>
    </row>
    <row r="898" spans="1:7" x14ac:dyDescent="0.25">
      <c r="A898" s="780"/>
      <c r="B898" s="781"/>
      <c r="C898" s="781"/>
      <c r="D898" s="781"/>
      <c r="E898" s="781"/>
      <c r="F898" s="781"/>
      <c r="G898" s="782"/>
    </row>
    <row r="899" spans="1:7" x14ac:dyDescent="0.25">
      <c r="A899" s="507" t="s">
        <v>785</v>
      </c>
      <c r="B899" s="485" t="s">
        <v>786</v>
      </c>
      <c r="C899" s="489" t="s">
        <v>787</v>
      </c>
      <c r="D899" s="490" t="s">
        <v>788</v>
      </c>
      <c r="E899" s="491" t="s">
        <v>789</v>
      </c>
      <c r="F899" s="492" t="s">
        <v>790</v>
      </c>
      <c r="G899" s="509" t="s">
        <v>791</v>
      </c>
    </row>
    <row r="900" spans="1:7" x14ac:dyDescent="0.25">
      <c r="A900" s="545">
        <v>88247</v>
      </c>
      <c r="B900" s="546" t="s">
        <v>792</v>
      </c>
      <c r="C900" s="499" t="s">
        <v>806</v>
      </c>
      <c r="D900" s="542" t="s">
        <v>799</v>
      </c>
      <c r="E900" s="495">
        <v>0.76</v>
      </c>
      <c r="F900" s="543">
        <v>19.2</v>
      </c>
      <c r="G900" s="514">
        <f>TRUNC(F900*E900,2)</f>
        <v>14.59</v>
      </c>
    </row>
    <row r="901" spans="1:7" x14ac:dyDescent="0.25">
      <c r="A901" s="545">
        <v>88264</v>
      </c>
      <c r="B901" s="546" t="s">
        <v>792</v>
      </c>
      <c r="C901" s="499" t="s">
        <v>807</v>
      </c>
      <c r="D901" s="542" t="s">
        <v>799</v>
      </c>
      <c r="E901" s="495">
        <v>0.76</v>
      </c>
      <c r="F901" s="543">
        <v>23.24</v>
      </c>
      <c r="G901" s="514">
        <f>TRUNC(F901*E901,2)</f>
        <v>17.66</v>
      </c>
    </row>
    <row r="902" spans="1:7" x14ac:dyDescent="0.25">
      <c r="A902" s="788" t="s">
        <v>21</v>
      </c>
      <c r="B902" s="789"/>
      <c r="C902" s="789"/>
      <c r="D902" s="789"/>
      <c r="E902" s="789"/>
      <c r="F902" s="789"/>
      <c r="G902" s="511">
        <f>SUM(G900:G901)</f>
        <v>32.25</v>
      </c>
    </row>
    <row r="903" spans="1:7" x14ac:dyDescent="0.25">
      <c r="A903" s="780"/>
      <c r="B903" s="781"/>
      <c r="C903" s="781"/>
      <c r="D903" s="781"/>
      <c r="E903" s="781"/>
      <c r="F903" s="781"/>
      <c r="G903" s="782"/>
    </row>
    <row r="904" spans="1:7" x14ac:dyDescent="0.25">
      <c r="A904" s="507" t="s">
        <v>785</v>
      </c>
      <c r="B904" s="485" t="s">
        <v>786</v>
      </c>
      <c r="C904" s="489" t="s">
        <v>801</v>
      </c>
      <c r="D904" s="490" t="s">
        <v>788</v>
      </c>
      <c r="E904" s="496" t="s">
        <v>789</v>
      </c>
      <c r="F904" s="492" t="s">
        <v>790</v>
      </c>
      <c r="G904" s="509" t="s">
        <v>791</v>
      </c>
    </row>
    <row r="905" spans="1:7" ht="15" customHeight="1" x14ac:dyDescent="0.25">
      <c r="A905" s="545">
        <v>2642</v>
      </c>
      <c r="B905" s="546" t="s">
        <v>817</v>
      </c>
      <c r="C905" s="499" t="s">
        <v>1620</v>
      </c>
      <c r="D905" s="539" t="s">
        <v>62</v>
      </c>
      <c r="E905" s="498">
        <v>1</v>
      </c>
      <c r="F905" s="540">
        <v>19.87</v>
      </c>
      <c r="G905" s="510">
        <f t="shared" ref="G905" si="20">TRUNC(E905*F905,2)</f>
        <v>19.87</v>
      </c>
    </row>
    <row r="906" spans="1:7" x14ac:dyDescent="0.25">
      <c r="A906" s="788" t="s">
        <v>21</v>
      </c>
      <c r="B906" s="789"/>
      <c r="C906" s="789"/>
      <c r="D906" s="789"/>
      <c r="E906" s="789"/>
      <c r="F906" s="789"/>
      <c r="G906" s="511">
        <f>SUM(G905:G905)</f>
        <v>19.87</v>
      </c>
    </row>
    <row r="907" spans="1:7" x14ac:dyDescent="0.25">
      <c r="A907" s="828" t="s">
        <v>796</v>
      </c>
      <c r="B907" s="829"/>
      <c r="C907" s="829"/>
      <c r="D907" s="829"/>
      <c r="E907" s="829"/>
      <c r="F907" s="829"/>
      <c r="G907" s="512">
        <f>G902+G906</f>
        <v>52.120000000000005</v>
      </c>
    </row>
    <row r="908" spans="1:7" x14ac:dyDescent="0.25">
      <c r="A908" s="780"/>
      <c r="B908" s="781"/>
      <c r="C908" s="781"/>
      <c r="D908" s="781"/>
      <c r="E908" s="781"/>
      <c r="F908" s="781"/>
      <c r="G908" s="782"/>
    </row>
    <row r="909" spans="1:7" x14ac:dyDescent="0.25">
      <c r="A909" s="772" t="s">
        <v>1655</v>
      </c>
      <c r="B909" s="773"/>
      <c r="C909" s="773"/>
      <c r="D909" s="773"/>
      <c r="E909" s="773"/>
      <c r="F909" s="773"/>
      <c r="G909" s="774"/>
    </row>
    <row r="910" spans="1:7" x14ac:dyDescent="0.25">
      <c r="A910" s="772"/>
      <c r="B910" s="773"/>
      <c r="C910" s="773"/>
      <c r="D910" s="773"/>
      <c r="E910" s="773"/>
      <c r="F910" s="773"/>
      <c r="G910" s="774"/>
    </row>
    <row r="911" spans="1:7" x14ac:dyDescent="0.25">
      <c r="A911" s="806"/>
      <c r="B911" s="807"/>
      <c r="C911" s="807"/>
      <c r="D911" s="807"/>
      <c r="E911" s="807"/>
      <c r="F911" s="807"/>
      <c r="G911" s="808"/>
    </row>
    <row r="912" spans="1:7" x14ac:dyDescent="0.25">
      <c r="A912" s="790" t="s">
        <v>1474</v>
      </c>
      <c r="B912" s="791"/>
      <c r="C912" s="798" t="str">
        <f>C920</f>
        <v>FITA ACO INOX PARA CINTAR POSTE, L = 19 MM, E = 0,5 MM (ROLO DE 30M)</v>
      </c>
      <c r="D912" s="798"/>
      <c r="E912" s="798"/>
      <c r="F912" s="798"/>
      <c r="G912" s="799"/>
    </row>
    <row r="913" spans="1:7" x14ac:dyDescent="0.25">
      <c r="A913" s="780"/>
      <c r="B913" s="781"/>
      <c r="C913" s="781"/>
      <c r="D913" s="781"/>
      <c r="E913" s="781"/>
      <c r="F913" s="781"/>
      <c r="G913" s="782"/>
    </row>
    <row r="914" spans="1:7" x14ac:dyDescent="0.25">
      <c r="A914" s="507" t="s">
        <v>785</v>
      </c>
      <c r="B914" s="485" t="s">
        <v>786</v>
      </c>
      <c r="C914" s="489" t="s">
        <v>787</v>
      </c>
      <c r="D914" s="490" t="s">
        <v>788</v>
      </c>
      <c r="E914" s="491" t="s">
        <v>789</v>
      </c>
      <c r="F914" s="492" t="s">
        <v>790</v>
      </c>
      <c r="G914" s="509" t="s">
        <v>791</v>
      </c>
    </row>
    <row r="915" spans="1:7" x14ac:dyDescent="0.25">
      <c r="A915" s="545">
        <v>88247</v>
      </c>
      <c r="B915" s="546" t="s">
        <v>792</v>
      </c>
      <c r="C915" s="499" t="s">
        <v>806</v>
      </c>
      <c r="D915" s="542" t="s">
        <v>799</v>
      </c>
      <c r="E915" s="495">
        <v>0.2</v>
      </c>
      <c r="F915" s="543">
        <v>19.2</v>
      </c>
      <c r="G915" s="514">
        <f>TRUNC(F915*E915,2)</f>
        <v>3.84</v>
      </c>
    </row>
    <row r="916" spans="1:7" x14ac:dyDescent="0.25">
      <c r="A916" s="545">
        <v>88264</v>
      </c>
      <c r="B916" s="546" t="s">
        <v>792</v>
      </c>
      <c r="C916" s="499" t="s">
        <v>807</v>
      </c>
      <c r="D916" s="542" t="s">
        <v>799</v>
      </c>
      <c r="E916" s="495">
        <v>0.2</v>
      </c>
      <c r="F916" s="543">
        <v>23.24</v>
      </c>
      <c r="G916" s="514">
        <f>TRUNC(F916*E916,2)</f>
        <v>4.6399999999999997</v>
      </c>
    </row>
    <row r="917" spans="1:7" x14ac:dyDescent="0.25">
      <c r="A917" s="788" t="s">
        <v>21</v>
      </c>
      <c r="B917" s="789"/>
      <c r="C917" s="789"/>
      <c r="D917" s="789"/>
      <c r="E917" s="789"/>
      <c r="F917" s="789"/>
      <c r="G917" s="511">
        <f>SUM(G915:G916)</f>
        <v>8.48</v>
      </c>
    </row>
    <row r="918" spans="1:7" x14ac:dyDescent="0.25">
      <c r="A918" s="780"/>
      <c r="B918" s="781"/>
      <c r="C918" s="781"/>
      <c r="D918" s="781"/>
      <c r="E918" s="781"/>
      <c r="F918" s="781"/>
      <c r="G918" s="782"/>
    </row>
    <row r="919" spans="1:7" x14ac:dyDescent="0.25">
      <c r="A919" s="507" t="s">
        <v>785</v>
      </c>
      <c r="B919" s="485" t="s">
        <v>786</v>
      </c>
      <c r="C919" s="489" t="s">
        <v>801</v>
      </c>
      <c r="D919" s="490" t="s">
        <v>788</v>
      </c>
      <c r="E919" s="496" t="s">
        <v>789</v>
      </c>
      <c r="F919" s="492" t="s">
        <v>790</v>
      </c>
      <c r="G919" s="509" t="s">
        <v>791</v>
      </c>
    </row>
    <row r="920" spans="1:7" x14ac:dyDescent="0.25">
      <c r="A920" s="545">
        <v>406</v>
      </c>
      <c r="B920" s="546" t="s">
        <v>817</v>
      </c>
      <c r="C920" s="499" t="s">
        <v>1190</v>
      </c>
      <c r="D920" s="539" t="s">
        <v>62</v>
      </c>
      <c r="E920" s="498">
        <v>1</v>
      </c>
      <c r="F920" s="540">
        <v>104.61</v>
      </c>
      <c r="G920" s="510">
        <f t="shared" ref="G920" si="21">TRUNC(E920*F920,2)</f>
        <v>104.61</v>
      </c>
    </row>
    <row r="921" spans="1:7" x14ac:dyDescent="0.25">
      <c r="A921" s="788" t="s">
        <v>21</v>
      </c>
      <c r="B921" s="789"/>
      <c r="C921" s="789"/>
      <c r="D921" s="789"/>
      <c r="E921" s="789"/>
      <c r="F921" s="789"/>
      <c r="G921" s="511">
        <f>SUM(G920:G920)</f>
        <v>104.61</v>
      </c>
    </row>
    <row r="922" spans="1:7" x14ac:dyDescent="0.25">
      <c r="A922" s="797" t="s">
        <v>796</v>
      </c>
      <c r="B922" s="786"/>
      <c r="C922" s="786"/>
      <c r="D922" s="786"/>
      <c r="E922" s="786"/>
      <c r="F922" s="786"/>
      <c r="G922" s="512">
        <f>G917+G921</f>
        <v>113.09</v>
      </c>
    </row>
    <row r="923" spans="1:7" x14ac:dyDescent="0.25">
      <c r="A923" s="780"/>
      <c r="B923" s="781"/>
      <c r="C923" s="781"/>
      <c r="D923" s="781"/>
      <c r="E923" s="781"/>
      <c r="F923" s="781"/>
      <c r="G923" s="782"/>
    </row>
    <row r="924" spans="1:7" x14ac:dyDescent="0.25">
      <c r="A924" s="772" t="s">
        <v>1227</v>
      </c>
      <c r="B924" s="773"/>
      <c r="C924" s="773"/>
      <c r="D924" s="773"/>
      <c r="E924" s="773"/>
      <c r="F924" s="773"/>
      <c r="G924" s="774"/>
    </row>
    <row r="925" spans="1:7" x14ac:dyDescent="0.25">
      <c r="A925" s="772"/>
      <c r="B925" s="773"/>
      <c r="C925" s="773"/>
      <c r="D925" s="773"/>
      <c r="E925" s="773"/>
      <c r="F925" s="773"/>
      <c r="G925" s="774"/>
    </row>
    <row r="926" spans="1:7" x14ac:dyDescent="0.25">
      <c r="A926" s="780"/>
      <c r="B926" s="781"/>
      <c r="C926" s="781"/>
      <c r="D926" s="781"/>
      <c r="E926" s="781"/>
      <c r="F926" s="781"/>
      <c r="G926" s="782"/>
    </row>
    <row r="927" spans="1:7" x14ac:dyDescent="0.25">
      <c r="A927" s="790" t="s">
        <v>1475</v>
      </c>
      <c r="B927" s="791"/>
      <c r="C927" s="792" t="str">
        <f>C935</f>
        <v>CABO COBRE ISOLADO XLPE 0,6/1KV - NEUTRO - 50 MM</v>
      </c>
      <c r="D927" s="792"/>
      <c r="E927" s="792"/>
      <c r="F927" s="792"/>
      <c r="G927" s="793"/>
    </row>
    <row r="928" spans="1:7" x14ac:dyDescent="0.25">
      <c r="A928" s="780"/>
      <c r="B928" s="781"/>
      <c r="C928" s="781"/>
      <c r="D928" s="781"/>
      <c r="E928" s="781"/>
      <c r="F928" s="781"/>
      <c r="G928" s="782"/>
    </row>
    <row r="929" spans="1:7" x14ac:dyDescent="0.25">
      <c r="A929" s="507" t="s">
        <v>785</v>
      </c>
      <c r="B929" s="485" t="s">
        <v>786</v>
      </c>
      <c r="C929" s="489" t="s">
        <v>787</v>
      </c>
      <c r="D929" s="490" t="s">
        <v>788</v>
      </c>
      <c r="E929" s="491" t="s">
        <v>789</v>
      </c>
      <c r="F929" s="492" t="s">
        <v>790</v>
      </c>
      <c r="G929" s="509" t="s">
        <v>791</v>
      </c>
    </row>
    <row r="930" spans="1:7" x14ac:dyDescent="0.25">
      <c r="A930" s="545">
        <v>88247</v>
      </c>
      <c r="B930" s="546" t="s">
        <v>792</v>
      </c>
      <c r="C930" s="499" t="s">
        <v>806</v>
      </c>
      <c r="D930" s="542" t="s">
        <v>799</v>
      </c>
      <c r="E930" s="495">
        <v>0.21</v>
      </c>
      <c r="F930" s="543">
        <v>19.2</v>
      </c>
      <c r="G930" s="514">
        <f>TRUNC(F930*E930,2)</f>
        <v>4.03</v>
      </c>
    </row>
    <row r="931" spans="1:7" x14ac:dyDescent="0.25">
      <c r="A931" s="545">
        <v>88264</v>
      </c>
      <c r="B931" s="546" t="s">
        <v>792</v>
      </c>
      <c r="C931" s="499" t="s">
        <v>807</v>
      </c>
      <c r="D931" s="542" t="s">
        <v>799</v>
      </c>
      <c r="E931" s="495">
        <v>0.21</v>
      </c>
      <c r="F931" s="543">
        <v>23.24</v>
      </c>
      <c r="G931" s="514">
        <f>TRUNC(F931*E931,2)</f>
        <v>4.88</v>
      </c>
    </row>
    <row r="932" spans="1:7" x14ac:dyDescent="0.25">
      <c r="A932" s="788" t="s">
        <v>21</v>
      </c>
      <c r="B932" s="789"/>
      <c r="C932" s="789"/>
      <c r="D932" s="789"/>
      <c r="E932" s="789"/>
      <c r="F932" s="789"/>
      <c r="G932" s="511">
        <f>SUM(G930:G931)</f>
        <v>8.91</v>
      </c>
    </row>
    <row r="933" spans="1:7" x14ac:dyDescent="0.25">
      <c r="A933" s="780"/>
      <c r="B933" s="781"/>
      <c r="C933" s="781"/>
      <c r="D933" s="781"/>
      <c r="E933" s="781"/>
      <c r="F933" s="781"/>
      <c r="G933" s="782"/>
    </row>
    <row r="934" spans="1:7" x14ac:dyDescent="0.25">
      <c r="A934" s="507" t="s">
        <v>785</v>
      </c>
      <c r="B934" s="485" t="s">
        <v>786</v>
      </c>
      <c r="C934" s="489" t="s">
        <v>801</v>
      </c>
      <c r="D934" s="490" t="s">
        <v>788</v>
      </c>
      <c r="E934" s="496" t="s">
        <v>789</v>
      </c>
      <c r="F934" s="492" t="s">
        <v>790</v>
      </c>
      <c r="G934" s="509" t="s">
        <v>791</v>
      </c>
    </row>
    <row r="935" spans="1:7" x14ac:dyDescent="0.25">
      <c r="A935" s="545" t="s">
        <v>815</v>
      </c>
      <c r="B935" s="546" t="s">
        <v>808</v>
      </c>
      <c r="C935" s="499" t="str">
        <f>B938</f>
        <v>CABO COBRE ISOLADO XLPE 0,6/1KV - NEUTRO - 50 MM</v>
      </c>
      <c r="D935" s="539" t="s">
        <v>62</v>
      </c>
      <c r="E935" s="498">
        <v>1</v>
      </c>
      <c r="F935" s="540">
        <f>D943</f>
        <v>49.88</v>
      </c>
      <c r="G935" s="510">
        <f>TRUNC(E935*F935,2)</f>
        <v>49.88</v>
      </c>
    </row>
    <row r="936" spans="1:7" x14ac:dyDescent="0.25">
      <c r="A936" s="788" t="s">
        <v>21</v>
      </c>
      <c r="B936" s="789"/>
      <c r="C936" s="789"/>
      <c r="D936" s="789"/>
      <c r="E936" s="789"/>
      <c r="F936" s="789"/>
      <c r="G936" s="511">
        <f>SUM(G935:G935)</f>
        <v>49.88</v>
      </c>
    </row>
    <row r="937" spans="1:7" x14ac:dyDescent="0.25">
      <c r="A937" s="797" t="s">
        <v>796</v>
      </c>
      <c r="B937" s="786"/>
      <c r="C937" s="786"/>
      <c r="D937" s="786"/>
      <c r="E937" s="786"/>
      <c r="F937" s="786"/>
      <c r="G937" s="512">
        <f>G932+G936</f>
        <v>58.790000000000006</v>
      </c>
    </row>
    <row r="938" spans="1:7" ht="15" customHeight="1" x14ac:dyDescent="0.25">
      <c r="A938" s="544" t="s">
        <v>809</v>
      </c>
      <c r="B938" s="802" t="s">
        <v>1260</v>
      </c>
      <c r="C938" s="802"/>
      <c r="D938" s="802"/>
      <c r="E938" s="802"/>
      <c r="F938" s="802"/>
      <c r="G938" s="809"/>
    </row>
    <row r="939" spans="1:7" ht="15" customHeight="1" x14ac:dyDescent="0.25">
      <c r="A939" s="545"/>
      <c r="B939" s="728" t="s">
        <v>1247</v>
      </c>
      <c r="C939" s="728"/>
      <c r="D939" s="784" t="s">
        <v>810</v>
      </c>
      <c r="E939" s="784"/>
      <c r="F939" s="541" t="s">
        <v>811</v>
      </c>
      <c r="G939" s="516" t="s">
        <v>1183</v>
      </c>
    </row>
    <row r="940" spans="1:7" ht="15" customHeight="1" x14ac:dyDescent="0.25">
      <c r="A940" s="517">
        <v>44740</v>
      </c>
      <c r="B940" s="775" t="s">
        <v>1358</v>
      </c>
      <c r="C940" s="775"/>
      <c r="D940" s="776">
        <v>43.69</v>
      </c>
      <c r="E940" s="776"/>
      <c r="F940" s="542" t="s">
        <v>1212</v>
      </c>
      <c r="G940" s="518" t="s">
        <v>1359</v>
      </c>
    </row>
    <row r="941" spans="1:7" ht="15" customHeight="1" x14ac:dyDescent="0.25">
      <c r="A941" s="519">
        <v>44741</v>
      </c>
      <c r="B941" s="785" t="s">
        <v>1362</v>
      </c>
      <c r="C941" s="785"/>
      <c r="D941" s="783">
        <v>49.88</v>
      </c>
      <c r="E941" s="783"/>
      <c r="F941" s="539" t="s">
        <v>1182</v>
      </c>
      <c r="G941" s="520" t="s">
        <v>1363</v>
      </c>
    </row>
    <row r="942" spans="1:7" x14ac:dyDescent="0.25">
      <c r="A942" s="519">
        <v>44741</v>
      </c>
      <c r="B942" s="785" t="s">
        <v>1248</v>
      </c>
      <c r="C942" s="785"/>
      <c r="D942" s="783">
        <v>51.01</v>
      </c>
      <c r="E942" s="783"/>
      <c r="F942" s="539" t="s">
        <v>1360</v>
      </c>
      <c r="G942" s="520" t="s">
        <v>1361</v>
      </c>
    </row>
    <row r="943" spans="1:7" x14ac:dyDescent="0.25">
      <c r="A943" s="787" t="s">
        <v>812</v>
      </c>
      <c r="B943" s="777"/>
      <c r="C943" s="777"/>
      <c r="D943" s="800">
        <f>MEDIAN(D940:E942)</f>
        <v>49.88</v>
      </c>
      <c r="E943" s="800"/>
      <c r="F943" s="800"/>
      <c r="G943" s="801"/>
    </row>
    <row r="944" spans="1:7" x14ac:dyDescent="0.25">
      <c r="A944" s="780"/>
      <c r="B944" s="781"/>
      <c r="C944" s="781"/>
      <c r="D944" s="781"/>
      <c r="E944" s="781"/>
      <c r="F944" s="781"/>
      <c r="G944" s="782"/>
    </row>
    <row r="945" spans="1:7" x14ac:dyDescent="0.25">
      <c r="A945" s="772" t="s">
        <v>1230</v>
      </c>
      <c r="B945" s="773"/>
      <c r="C945" s="773"/>
      <c r="D945" s="773"/>
      <c r="E945" s="773"/>
      <c r="F945" s="773"/>
      <c r="G945" s="774"/>
    </row>
    <row r="946" spans="1:7" x14ac:dyDescent="0.25">
      <c r="A946" s="772"/>
      <c r="B946" s="773"/>
      <c r="C946" s="773"/>
      <c r="D946" s="773"/>
      <c r="E946" s="773"/>
      <c r="F946" s="773"/>
      <c r="G946" s="774"/>
    </row>
    <row r="947" spans="1:7" x14ac:dyDescent="0.25">
      <c r="A947" s="806"/>
      <c r="B947" s="807"/>
      <c r="C947" s="807"/>
      <c r="D947" s="807"/>
      <c r="E947" s="807"/>
      <c r="F947" s="807"/>
      <c r="G947" s="808"/>
    </row>
    <row r="948" spans="1:7" x14ac:dyDescent="0.25">
      <c r="A948" s="790" t="s">
        <v>1476</v>
      </c>
      <c r="B948" s="791"/>
      <c r="C948" s="834" t="s">
        <v>1261</v>
      </c>
      <c r="D948" s="834"/>
      <c r="E948" s="834"/>
      <c r="F948" s="834"/>
      <c r="G948" s="835"/>
    </row>
    <row r="949" spans="1:7" x14ac:dyDescent="0.25">
      <c r="A949" s="780"/>
      <c r="B949" s="781"/>
      <c r="C949" s="781"/>
      <c r="D949" s="781"/>
      <c r="E949" s="781"/>
      <c r="F949" s="781"/>
      <c r="G949" s="782"/>
    </row>
    <row r="950" spans="1:7" x14ac:dyDescent="0.25">
      <c r="A950" s="507" t="s">
        <v>785</v>
      </c>
      <c r="B950" s="485" t="s">
        <v>786</v>
      </c>
      <c r="C950" s="489" t="s">
        <v>787</v>
      </c>
      <c r="D950" s="490" t="s">
        <v>788</v>
      </c>
      <c r="E950" s="491" t="s">
        <v>789</v>
      </c>
      <c r="F950" s="492" t="s">
        <v>790</v>
      </c>
      <c r="G950" s="509" t="s">
        <v>791</v>
      </c>
    </row>
    <row r="951" spans="1:7" x14ac:dyDescent="0.25">
      <c r="A951" s="545">
        <v>88264</v>
      </c>
      <c r="B951" s="546" t="s">
        <v>792</v>
      </c>
      <c r="C951" s="499" t="s">
        <v>807</v>
      </c>
      <c r="D951" s="542" t="s">
        <v>799</v>
      </c>
      <c r="E951" s="504">
        <v>0.12</v>
      </c>
      <c r="F951" s="543">
        <v>23.24</v>
      </c>
      <c r="G951" s="510">
        <f>TRUNC(E951*F951,2)</f>
        <v>2.78</v>
      </c>
    </row>
    <row r="952" spans="1:7" x14ac:dyDescent="0.25">
      <c r="A952" s="788" t="s">
        <v>21</v>
      </c>
      <c r="B952" s="789"/>
      <c r="C952" s="789"/>
      <c r="D952" s="789"/>
      <c r="E952" s="789"/>
      <c r="F952" s="789"/>
      <c r="G952" s="511">
        <f>SUM(G951:G951)</f>
        <v>2.78</v>
      </c>
    </row>
    <row r="953" spans="1:7" x14ac:dyDescent="0.25">
      <c r="A953" s="780"/>
      <c r="B953" s="781"/>
      <c r="C953" s="781"/>
      <c r="D953" s="781"/>
      <c r="E953" s="781"/>
      <c r="F953" s="781"/>
      <c r="G953" s="782"/>
    </row>
    <row r="954" spans="1:7" x14ac:dyDescent="0.25">
      <c r="A954" s="507" t="s">
        <v>785</v>
      </c>
      <c r="B954" s="485" t="s">
        <v>786</v>
      </c>
      <c r="C954" s="489" t="s">
        <v>801</v>
      </c>
      <c r="D954" s="490" t="s">
        <v>788</v>
      </c>
      <c r="E954" s="496" t="s">
        <v>789</v>
      </c>
      <c r="F954" s="492" t="s">
        <v>790</v>
      </c>
      <c r="G954" s="509" t="s">
        <v>791</v>
      </c>
    </row>
    <row r="955" spans="1:7" ht="30" x14ac:dyDescent="0.25">
      <c r="A955" s="545">
        <v>1580</v>
      </c>
      <c r="B955" s="546" t="s">
        <v>792</v>
      </c>
      <c r="C955" s="499" t="s">
        <v>1621</v>
      </c>
      <c r="D955" s="539" t="s">
        <v>62</v>
      </c>
      <c r="E955" s="498">
        <v>1</v>
      </c>
      <c r="F955" s="540">
        <v>7.44</v>
      </c>
      <c r="G955" s="510">
        <f>TRUNC(E955*F955,2)</f>
        <v>7.44</v>
      </c>
    </row>
    <row r="956" spans="1:7" x14ac:dyDescent="0.25">
      <c r="A956" s="788" t="s">
        <v>21</v>
      </c>
      <c r="B956" s="789"/>
      <c r="C956" s="789"/>
      <c r="D956" s="789"/>
      <c r="E956" s="789"/>
      <c r="F956" s="789"/>
      <c r="G956" s="511">
        <f>SUM(G955:G955)</f>
        <v>7.44</v>
      </c>
    </row>
    <row r="957" spans="1:7" x14ac:dyDescent="0.25">
      <c r="A957" s="797" t="s">
        <v>796</v>
      </c>
      <c r="B957" s="786"/>
      <c r="C957" s="786"/>
      <c r="D957" s="786"/>
      <c r="E957" s="786"/>
      <c r="F957" s="786"/>
      <c r="G957" s="512">
        <f>G952+G956</f>
        <v>10.220000000000001</v>
      </c>
    </row>
    <row r="958" spans="1:7" x14ac:dyDescent="0.25">
      <c r="A958" s="780"/>
      <c r="B958" s="781"/>
      <c r="C958" s="781"/>
      <c r="D958" s="781"/>
      <c r="E958" s="781"/>
      <c r="F958" s="781"/>
      <c r="G958" s="782"/>
    </row>
    <row r="959" spans="1:7" x14ac:dyDescent="0.25">
      <c r="A959" s="772" t="s">
        <v>1656</v>
      </c>
      <c r="B959" s="773"/>
      <c r="C959" s="773"/>
      <c r="D959" s="773"/>
      <c r="E959" s="773"/>
      <c r="F959" s="773"/>
      <c r="G959" s="774"/>
    </row>
    <row r="960" spans="1:7" x14ac:dyDescent="0.25">
      <c r="A960" s="772"/>
      <c r="B960" s="773"/>
      <c r="C960" s="773"/>
      <c r="D960" s="773"/>
      <c r="E960" s="773"/>
      <c r="F960" s="773"/>
      <c r="G960" s="774"/>
    </row>
    <row r="961" spans="1:7" x14ac:dyDescent="0.25">
      <c r="A961" s="780"/>
      <c r="B961" s="781"/>
      <c r="C961" s="781"/>
      <c r="D961" s="781"/>
      <c r="E961" s="781"/>
      <c r="F961" s="781"/>
      <c r="G961" s="782"/>
    </row>
    <row r="962" spans="1:7" x14ac:dyDescent="0.25">
      <c r="A962" s="790" t="s">
        <v>1477</v>
      </c>
      <c r="B962" s="791"/>
      <c r="C962" s="834" t="s">
        <v>1239</v>
      </c>
      <c r="D962" s="834"/>
      <c r="E962" s="834"/>
      <c r="F962" s="834"/>
      <c r="G962" s="835"/>
    </row>
    <row r="963" spans="1:7" x14ac:dyDescent="0.25">
      <c r="A963" s="780"/>
      <c r="B963" s="781"/>
      <c r="C963" s="781"/>
      <c r="D963" s="781"/>
      <c r="E963" s="781"/>
      <c r="F963" s="781"/>
      <c r="G963" s="782"/>
    </row>
    <row r="964" spans="1:7" ht="14.25" customHeight="1" x14ac:dyDescent="0.25">
      <c r="A964" s="507" t="s">
        <v>785</v>
      </c>
      <c r="B964" s="485" t="s">
        <v>786</v>
      </c>
      <c r="C964" s="489" t="s">
        <v>787</v>
      </c>
      <c r="D964" s="490" t="s">
        <v>788</v>
      </c>
      <c r="E964" s="491" t="s">
        <v>789</v>
      </c>
      <c r="F964" s="492" t="s">
        <v>790</v>
      </c>
      <c r="G964" s="509" t="s">
        <v>791</v>
      </c>
    </row>
    <row r="965" spans="1:7" x14ac:dyDescent="0.25">
      <c r="A965" s="545">
        <v>88247</v>
      </c>
      <c r="B965" s="546" t="s">
        <v>792</v>
      </c>
      <c r="C965" s="499" t="s">
        <v>806</v>
      </c>
      <c r="D965" s="542" t="s">
        <v>799</v>
      </c>
      <c r="E965" s="504">
        <v>0.02</v>
      </c>
      <c r="F965" s="543">
        <v>19.2</v>
      </c>
      <c r="G965" s="510">
        <f>TRUNC(E965*F965,2)</f>
        <v>0.38</v>
      </c>
    </row>
    <row r="966" spans="1:7" x14ac:dyDescent="0.25">
      <c r="A966" s="545">
        <v>88264</v>
      </c>
      <c r="B966" s="546" t="s">
        <v>792</v>
      </c>
      <c r="C966" s="499" t="s">
        <v>807</v>
      </c>
      <c r="D966" s="542" t="s">
        <v>799</v>
      </c>
      <c r="E966" s="504">
        <v>0.02</v>
      </c>
      <c r="F966" s="543">
        <v>23.24</v>
      </c>
      <c r="G966" s="510">
        <f>TRUNC(E966*F966,2)</f>
        <v>0.46</v>
      </c>
    </row>
    <row r="967" spans="1:7" x14ac:dyDescent="0.25">
      <c r="A967" s="788" t="s">
        <v>21</v>
      </c>
      <c r="B967" s="789"/>
      <c r="C967" s="789"/>
      <c r="D967" s="789"/>
      <c r="E967" s="789"/>
      <c r="F967" s="789"/>
      <c r="G967" s="511">
        <f>SUM(G965:G966)</f>
        <v>0.84000000000000008</v>
      </c>
    </row>
    <row r="968" spans="1:7" x14ac:dyDescent="0.25">
      <c r="A968" s="780"/>
      <c r="B968" s="781"/>
      <c r="C968" s="781"/>
      <c r="D968" s="781"/>
      <c r="E968" s="781"/>
      <c r="F968" s="781"/>
      <c r="G968" s="782"/>
    </row>
    <row r="969" spans="1:7" x14ac:dyDescent="0.25">
      <c r="A969" s="507" t="s">
        <v>785</v>
      </c>
      <c r="B969" s="485" t="s">
        <v>786</v>
      </c>
      <c r="C969" s="489" t="s">
        <v>801</v>
      </c>
      <c r="D969" s="490" t="s">
        <v>788</v>
      </c>
      <c r="E969" s="496" t="s">
        <v>789</v>
      </c>
      <c r="F969" s="492" t="s">
        <v>790</v>
      </c>
      <c r="G969" s="509" t="s">
        <v>791</v>
      </c>
    </row>
    <row r="970" spans="1:7" x14ac:dyDescent="0.25">
      <c r="A970" s="545">
        <v>404</v>
      </c>
      <c r="B970" s="546" t="s">
        <v>817</v>
      </c>
      <c r="C970" s="499" t="s">
        <v>1200</v>
      </c>
      <c r="D970" s="539" t="s">
        <v>275</v>
      </c>
      <c r="E970" s="498">
        <v>1</v>
      </c>
      <c r="F970" s="540">
        <v>1.33</v>
      </c>
      <c r="G970" s="510">
        <f>TRUNC(E970*F970,2)</f>
        <v>1.33</v>
      </c>
    </row>
    <row r="971" spans="1:7" x14ac:dyDescent="0.25">
      <c r="A971" s="788" t="s">
        <v>21</v>
      </c>
      <c r="B971" s="789"/>
      <c r="C971" s="789"/>
      <c r="D971" s="789"/>
      <c r="E971" s="789"/>
      <c r="F971" s="789"/>
      <c r="G971" s="511">
        <f>SUM(G970:G970)</f>
        <v>1.33</v>
      </c>
    </row>
    <row r="972" spans="1:7" x14ac:dyDescent="0.25">
      <c r="A972" s="797" t="s">
        <v>796</v>
      </c>
      <c r="B972" s="786"/>
      <c r="C972" s="786"/>
      <c r="D972" s="786"/>
      <c r="E972" s="786"/>
      <c r="F972" s="786"/>
      <c r="G972" s="512">
        <f>G967+G971</f>
        <v>2.17</v>
      </c>
    </row>
    <row r="973" spans="1:7" x14ac:dyDescent="0.25">
      <c r="A973" s="780"/>
      <c r="B973" s="781"/>
      <c r="C973" s="781"/>
      <c r="D973" s="781"/>
      <c r="E973" s="781"/>
      <c r="F973" s="781"/>
      <c r="G973" s="782"/>
    </row>
    <row r="974" spans="1:7" x14ac:dyDescent="0.25">
      <c r="A974" s="772" t="s">
        <v>1240</v>
      </c>
      <c r="B974" s="773"/>
      <c r="C974" s="773"/>
      <c r="D974" s="773"/>
      <c r="E974" s="773"/>
      <c r="F974" s="773"/>
      <c r="G974" s="774"/>
    </row>
    <row r="975" spans="1:7" x14ac:dyDescent="0.25">
      <c r="A975" s="772"/>
      <c r="B975" s="773"/>
      <c r="C975" s="773"/>
      <c r="D975" s="773"/>
      <c r="E975" s="773"/>
      <c r="F975" s="773"/>
      <c r="G975" s="774"/>
    </row>
    <row r="976" spans="1:7" x14ac:dyDescent="0.25">
      <c r="A976" s="780"/>
      <c r="B976" s="781"/>
      <c r="C976" s="781"/>
      <c r="D976" s="781"/>
      <c r="E976" s="781"/>
      <c r="F976" s="781"/>
      <c r="G976" s="782"/>
    </row>
    <row r="977" spans="1:7" x14ac:dyDescent="0.25">
      <c r="A977" s="790" t="s">
        <v>1478</v>
      </c>
      <c r="B977" s="791"/>
      <c r="C977" s="834" t="s">
        <v>1201</v>
      </c>
      <c r="D977" s="834"/>
      <c r="E977" s="834"/>
      <c r="F977" s="834"/>
      <c r="G977" s="835"/>
    </row>
    <row r="978" spans="1:7" x14ac:dyDescent="0.25">
      <c r="A978" s="780"/>
      <c r="B978" s="781"/>
      <c r="C978" s="781"/>
      <c r="D978" s="781"/>
      <c r="E978" s="781"/>
      <c r="F978" s="781"/>
      <c r="G978" s="782"/>
    </row>
    <row r="979" spans="1:7" x14ac:dyDescent="0.25">
      <c r="A979" s="507" t="s">
        <v>785</v>
      </c>
      <c r="B979" s="485" t="s">
        <v>786</v>
      </c>
      <c r="C979" s="489" t="s">
        <v>787</v>
      </c>
      <c r="D979" s="490" t="s">
        <v>788</v>
      </c>
      <c r="E979" s="491" t="s">
        <v>789</v>
      </c>
      <c r="F979" s="492" t="s">
        <v>790</v>
      </c>
      <c r="G979" s="509" t="s">
        <v>791</v>
      </c>
    </row>
    <row r="980" spans="1:7" x14ac:dyDescent="0.25">
      <c r="A980" s="545">
        <v>88247</v>
      </c>
      <c r="B980" s="546" t="s">
        <v>792</v>
      </c>
      <c r="C980" s="499" t="s">
        <v>806</v>
      </c>
      <c r="D980" s="542" t="s">
        <v>799</v>
      </c>
      <c r="E980" s="504">
        <v>0.02</v>
      </c>
      <c r="F980" s="543">
        <v>19.2</v>
      </c>
      <c r="G980" s="510">
        <f>TRUNC(E980*F980,2)</f>
        <v>0.38</v>
      </c>
    </row>
    <row r="981" spans="1:7" x14ac:dyDescent="0.25">
      <c r="A981" s="545">
        <v>88264</v>
      </c>
      <c r="B981" s="546" t="s">
        <v>792</v>
      </c>
      <c r="C981" s="499" t="s">
        <v>807</v>
      </c>
      <c r="D981" s="542" t="s">
        <v>799</v>
      </c>
      <c r="E981" s="504">
        <v>0.02</v>
      </c>
      <c r="F981" s="543">
        <v>23.24</v>
      </c>
      <c r="G981" s="510">
        <f>TRUNC(E981*F981,2)</f>
        <v>0.46</v>
      </c>
    </row>
    <row r="982" spans="1:7" x14ac:dyDescent="0.25">
      <c r="A982" s="788" t="s">
        <v>21</v>
      </c>
      <c r="B982" s="789"/>
      <c r="C982" s="789"/>
      <c r="D982" s="789"/>
      <c r="E982" s="789"/>
      <c r="F982" s="789"/>
      <c r="G982" s="511">
        <f>SUM(G980:G981)</f>
        <v>0.84000000000000008</v>
      </c>
    </row>
    <row r="983" spans="1:7" x14ac:dyDescent="0.25">
      <c r="A983" s="780"/>
      <c r="B983" s="781"/>
      <c r="C983" s="781"/>
      <c r="D983" s="781"/>
      <c r="E983" s="781"/>
      <c r="F983" s="781"/>
      <c r="G983" s="782"/>
    </row>
    <row r="984" spans="1:7" x14ac:dyDescent="0.25">
      <c r="A984" s="507" t="s">
        <v>785</v>
      </c>
      <c r="B984" s="485" t="s">
        <v>786</v>
      </c>
      <c r="C984" s="489" t="s">
        <v>801</v>
      </c>
      <c r="D984" s="490" t="s">
        <v>788</v>
      </c>
      <c r="E984" s="496" t="s">
        <v>789</v>
      </c>
      <c r="F984" s="492" t="s">
        <v>790</v>
      </c>
      <c r="G984" s="509" t="s">
        <v>791</v>
      </c>
    </row>
    <row r="985" spans="1:7" x14ac:dyDescent="0.25">
      <c r="A985" s="545">
        <v>20111</v>
      </c>
      <c r="B985" s="546" t="s">
        <v>817</v>
      </c>
      <c r="C985" s="499" t="s">
        <v>1202</v>
      </c>
      <c r="D985" s="539" t="s">
        <v>1057</v>
      </c>
      <c r="E985" s="498">
        <v>1</v>
      </c>
      <c r="F985" s="540">
        <v>9.8000000000000007</v>
      </c>
      <c r="G985" s="510">
        <f>TRUNC(E985*F985,2)</f>
        <v>9.8000000000000007</v>
      </c>
    </row>
    <row r="986" spans="1:7" x14ac:dyDescent="0.25">
      <c r="A986" s="788" t="s">
        <v>21</v>
      </c>
      <c r="B986" s="789"/>
      <c r="C986" s="789"/>
      <c r="D986" s="789"/>
      <c r="E986" s="789"/>
      <c r="F986" s="789"/>
      <c r="G986" s="511">
        <f>SUM(G985:G985)</f>
        <v>9.8000000000000007</v>
      </c>
    </row>
    <row r="987" spans="1:7" x14ac:dyDescent="0.25">
      <c r="A987" s="797" t="s">
        <v>796</v>
      </c>
      <c r="B987" s="786"/>
      <c r="C987" s="786"/>
      <c r="D987" s="786"/>
      <c r="E987" s="786"/>
      <c r="F987" s="786"/>
      <c r="G987" s="512">
        <f>G982+G986</f>
        <v>10.64</v>
      </c>
    </row>
    <row r="988" spans="1:7" x14ac:dyDescent="0.25">
      <c r="A988" s="780"/>
      <c r="B988" s="781"/>
      <c r="C988" s="781"/>
      <c r="D988" s="781"/>
      <c r="E988" s="781"/>
      <c r="F988" s="781"/>
      <c r="G988" s="782"/>
    </row>
    <row r="989" spans="1:7" x14ac:dyDescent="0.25">
      <c r="A989" s="772" t="s">
        <v>1241</v>
      </c>
      <c r="B989" s="773"/>
      <c r="C989" s="773"/>
      <c r="D989" s="773"/>
      <c r="E989" s="773"/>
      <c r="F989" s="773"/>
      <c r="G989" s="774"/>
    </row>
    <row r="990" spans="1:7" x14ac:dyDescent="0.25">
      <c r="A990" s="772"/>
      <c r="B990" s="773"/>
      <c r="C990" s="773"/>
      <c r="D990" s="773"/>
      <c r="E990" s="773"/>
      <c r="F990" s="773"/>
      <c r="G990" s="774"/>
    </row>
    <row r="991" spans="1:7" x14ac:dyDescent="0.25">
      <c r="A991" s="780"/>
      <c r="B991" s="781"/>
      <c r="C991" s="781"/>
      <c r="D991" s="781"/>
      <c r="E991" s="781"/>
      <c r="F991" s="781"/>
      <c r="G991" s="782"/>
    </row>
    <row r="992" spans="1:7" x14ac:dyDescent="0.25">
      <c r="A992" s="790" t="s">
        <v>1479</v>
      </c>
      <c r="B992" s="791"/>
      <c r="C992" s="792" t="str">
        <f>C1000</f>
        <v>CABO ALUMÍNIO ISOLADO XLPE 15KV  - 50 MM - REDE COMPACTA</v>
      </c>
      <c r="D992" s="792"/>
      <c r="E992" s="792"/>
      <c r="F992" s="792"/>
      <c r="G992" s="793"/>
    </row>
    <row r="993" spans="1:7" x14ac:dyDescent="0.25">
      <c r="A993" s="780"/>
      <c r="B993" s="781"/>
      <c r="C993" s="781"/>
      <c r="D993" s="781"/>
      <c r="E993" s="781"/>
      <c r="F993" s="781"/>
      <c r="G993" s="782"/>
    </row>
    <row r="994" spans="1:7" x14ac:dyDescent="0.25">
      <c r="A994" s="507" t="s">
        <v>785</v>
      </c>
      <c r="B994" s="485" t="s">
        <v>786</v>
      </c>
      <c r="C994" s="489" t="s">
        <v>787</v>
      </c>
      <c r="D994" s="490" t="s">
        <v>788</v>
      </c>
      <c r="E994" s="491" t="s">
        <v>789</v>
      </c>
      <c r="F994" s="492" t="s">
        <v>790</v>
      </c>
      <c r="G994" s="509" t="s">
        <v>791</v>
      </c>
    </row>
    <row r="995" spans="1:7" x14ac:dyDescent="0.25">
      <c r="A995" s="545">
        <v>88247</v>
      </c>
      <c r="B995" s="546" t="s">
        <v>792</v>
      </c>
      <c r="C995" s="499" t="s">
        <v>806</v>
      </c>
      <c r="D995" s="542" t="s">
        <v>799</v>
      </c>
      <c r="E995" s="577">
        <v>0.31</v>
      </c>
      <c r="F995" s="543">
        <v>19.2</v>
      </c>
      <c r="G995" s="514">
        <f>TRUNC(F995*E995,2)</f>
        <v>5.95</v>
      </c>
    </row>
    <row r="996" spans="1:7" x14ac:dyDescent="0.25">
      <c r="A996" s="545">
        <v>88264</v>
      </c>
      <c r="B996" s="546" t="s">
        <v>792</v>
      </c>
      <c r="C996" s="499" t="s">
        <v>807</v>
      </c>
      <c r="D996" s="542" t="s">
        <v>799</v>
      </c>
      <c r="E996" s="577">
        <v>0.31</v>
      </c>
      <c r="F996" s="543">
        <v>23.24</v>
      </c>
      <c r="G996" s="514">
        <f>TRUNC(F996*E996,2)</f>
        <v>7.2</v>
      </c>
    </row>
    <row r="997" spans="1:7" x14ac:dyDescent="0.25">
      <c r="A997" s="788" t="s">
        <v>21</v>
      </c>
      <c r="B997" s="789"/>
      <c r="C997" s="789"/>
      <c r="D997" s="789"/>
      <c r="E997" s="789"/>
      <c r="F997" s="789"/>
      <c r="G997" s="511">
        <f>SUM(G995:G996)</f>
        <v>13.15</v>
      </c>
    </row>
    <row r="998" spans="1:7" x14ac:dyDescent="0.25">
      <c r="A998" s="780"/>
      <c r="B998" s="781"/>
      <c r="C998" s="781"/>
      <c r="D998" s="781"/>
      <c r="E998" s="781"/>
      <c r="F998" s="781"/>
      <c r="G998" s="782"/>
    </row>
    <row r="999" spans="1:7" x14ac:dyDescent="0.25">
      <c r="A999" s="507" t="s">
        <v>785</v>
      </c>
      <c r="B999" s="485" t="s">
        <v>786</v>
      </c>
      <c r="C999" s="489" t="s">
        <v>801</v>
      </c>
      <c r="D999" s="490" t="s">
        <v>788</v>
      </c>
      <c r="E999" s="496" t="s">
        <v>789</v>
      </c>
      <c r="F999" s="492" t="s">
        <v>790</v>
      </c>
      <c r="G999" s="509" t="s">
        <v>791</v>
      </c>
    </row>
    <row r="1000" spans="1:7" x14ac:dyDescent="0.25">
      <c r="A1000" s="545" t="s">
        <v>815</v>
      </c>
      <c r="B1000" s="546" t="s">
        <v>808</v>
      </c>
      <c r="C1000" s="499" t="str">
        <f>B1003</f>
        <v>CABO ALUMÍNIO ISOLADO XLPE 15KV  - 50 MM - REDE COMPACTA</v>
      </c>
      <c r="D1000" s="539" t="s">
        <v>275</v>
      </c>
      <c r="E1000" s="498">
        <v>1</v>
      </c>
      <c r="F1000" s="540">
        <f>D1008</f>
        <v>13.46</v>
      </c>
      <c r="G1000" s="510">
        <f>TRUNC(E1000*F1000,2)</f>
        <v>13.46</v>
      </c>
    </row>
    <row r="1001" spans="1:7" x14ac:dyDescent="0.25">
      <c r="A1001" s="788" t="s">
        <v>21</v>
      </c>
      <c r="B1001" s="789"/>
      <c r="C1001" s="789"/>
      <c r="D1001" s="789"/>
      <c r="E1001" s="789"/>
      <c r="F1001" s="789"/>
      <c r="G1001" s="511">
        <f>SUM(G1000:G1000)</f>
        <v>13.46</v>
      </c>
    </row>
    <row r="1002" spans="1:7" x14ac:dyDescent="0.25">
      <c r="A1002" s="797" t="s">
        <v>796</v>
      </c>
      <c r="B1002" s="786"/>
      <c r="C1002" s="786"/>
      <c r="D1002" s="786"/>
      <c r="E1002" s="786"/>
      <c r="F1002" s="786"/>
      <c r="G1002" s="512">
        <f>G997+G1001</f>
        <v>26.61</v>
      </c>
    </row>
    <row r="1003" spans="1:7" x14ac:dyDescent="0.25">
      <c r="A1003" s="544" t="s">
        <v>809</v>
      </c>
      <c r="B1003" s="802" t="s">
        <v>1364</v>
      </c>
      <c r="C1003" s="802"/>
      <c r="D1003" s="784"/>
      <c r="E1003" s="784"/>
      <c r="F1003" s="502"/>
      <c r="G1003" s="516"/>
    </row>
    <row r="1004" spans="1:7" ht="15" customHeight="1" x14ac:dyDescent="0.25">
      <c r="A1004" s="545"/>
      <c r="B1004" s="728" t="s">
        <v>1247</v>
      </c>
      <c r="C1004" s="728"/>
      <c r="D1004" s="784" t="s">
        <v>810</v>
      </c>
      <c r="E1004" s="784"/>
      <c r="F1004" s="541" t="s">
        <v>811</v>
      </c>
      <c r="G1004" s="516" t="s">
        <v>1183</v>
      </c>
    </row>
    <row r="1005" spans="1:7" ht="15" customHeight="1" x14ac:dyDescent="0.25">
      <c r="A1005" s="517">
        <v>44740</v>
      </c>
      <c r="B1005" s="775" t="s">
        <v>1358</v>
      </c>
      <c r="C1005" s="775"/>
      <c r="D1005" s="776">
        <v>43.69</v>
      </c>
      <c r="E1005" s="776"/>
      <c r="F1005" s="542" t="s">
        <v>1212</v>
      </c>
      <c r="G1005" s="518" t="s">
        <v>1359</v>
      </c>
    </row>
    <row r="1006" spans="1:7" ht="15" customHeight="1" x14ac:dyDescent="0.25">
      <c r="A1006" s="519">
        <v>44741</v>
      </c>
      <c r="B1006" s="785" t="s">
        <v>1362</v>
      </c>
      <c r="C1006" s="785"/>
      <c r="D1006" s="783">
        <v>13.46</v>
      </c>
      <c r="E1006" s="783"/>
      <c r="F1006" s="539" t="s">
        <v>1182</v>
      </c>
      <c r="G1006" s="520" t="s">
        <v>1363</v>
      </c>
    </row>
    <row r="1007" spans="1:7" x14ac:dyDescent="0.25">
      <c r="A1007" s="519">
        <v>44741</v>
      </c>
      <c r="B1007" s="785" t="s">
        <v>1248</v>
      </c>
      <c r="C1007" s="785"/>
      <c r="D1007" s="783">
        <v>11.43</v>
      </c>
      <c r="E1007" s="783"/>
      <c r="F1007" s="539" t="s">
        <v>1360</v>
      </c>
      <c r="G1007" s="520" t="s">
        <v>1361</v>
      </c>
    </row>
    <row r="1008" spans="1:7" x14ac:dyDescent="0.25">
      <c r="A1008" s="787" t="s">
        <v>812</v>
      </c>
      <c r="B1008" s="777"/>
      <c r="C1008" s="777"/>
      <c r="D1008" s="800">
        <f>MEDIAN(D1005:E1007)</f>
        <v>13.46</v>
      </c>
      <c r="E1008" s="800"/>
      <c r="F1008" s="800"/>
      <c r="G1008" s="801"/>
    </row>
    <row r="1009" spans="1:7" x14ac:dyDescent="0.25">
      <c r="A1009" s="780"/>
      <c r="B1009" s="781"/>
      <c r="C1009" s="781"/>
      <c r="D1009" s="781"/>
      <c r="E1009" s="781"/>
      <c r="F1009" s="781"/>
      <c r="G1009" s="782"/>
    </row>
    <row r="1010" spans="1:7" x14ac:dyDescent="0.25">
      <c r="A1010" s="772" t="s">
        <v>1676</v>
      </c>
      <c r="B1010" s="773"/>
      <c r="C1010" s="773"/>
      <c r="D1010" s="773"/>
      <c r="E1010" s="773"/>
      <c r="F1010" s="773"/>
      <c r="G1010" s="774"/>
    </row>
    <row r="1011" spans="1:7" x14ac:dyDescent="0.25">
      <c r="A1011" s="772"/>
      <c r="B1011" s="773"/>
      <c r="C1011" s="773"/>
      <c r="D1011" s="773"/>
      <c r="E1011" s="773"/>
      <c r="F1011" s="773"/>
      <c r="G1011" s="774"/>
    </row>
    <row r="1012" spans="1:7" x14ac:dyDescent="0.25">
      <c r="A1012" s="780"/>
      <c r="B1012" s="781"/>
      <c r="C1012" s="781"/>
      <c r="D1012" s="781"/>
      <c r="E1012" s="781"/>
      <c r="F1012" s="781"/>
      <c r="G1012" s="782"/>
    </row>
    <row r="1013" spans="1:7" x14ac:dyDescent="0.25">
      <c r="A1013" s="790" t="s">
        <v>1480</v>
      </c>
      <c r="B1013" s="791"/>
      <c r="C1013" s="792" t="str">
        <f>C1021</f>
        <v>CINTA PARA POSTE CIRCULAR 210 MM</v>
      </c>
      <c r="D1013" s="792"/>
      <c r="E1013" s="792"/>
      <c r="F1013" s="792"/>
      <c r="G1013" s="793"/>
    </row>
    <row r="1014" spans="1:7" x14ac:dyDescent="0.25">
      <c r="A1014" s="780"/>
      <c r="B1014" s="781"/>
      <c r="C1014" s="781"/>
      <c r="D1014" s="781"/>
      <c r="E1014" s="781"/>
      <c r="F1014" s="781"/>
      <c r="G1014" s="782"/>
    </row>
    <row r="1015" spans="1:7" x14ac:dyDescent="0.25">
      <c r="A1015" s="507" t="s">
        <v>785</v>
      </c>
      <c r="B1015" s="485" t="s">
        <v>786</v>
      </c>
      <c r="C1015" s="489" t="s">
        <v>787</v>
      </c>
      <c r="D1015" s="490" t="s">
        <v>788</v>
      </c>
      <c r="E1015" s="491" t="s">
        <v>789</v>
      </c>
      <c r="F1015" s="492" t="s">
        <v>790</v>
      </c>
      <c r="G1015" s="509" t="s">
        <v>791</v>
      </c>
    </row>
    <row r="1016" spans="1:7" x14ac:dyDescent="0.25">
      <c r="A1016" s="545">
        <v>88247</v>
      </c>
      <c r="B1016" s="546" t="s">
        <v>792</v>
      </c>
      <c r="C1016" s="499" t="s">
        <v>806</v>
      </c>
      <c r="D1016" s="542" t="s">
        <v>799</v>
      </c>
      <c r="E1016" s="495">
        <v>0.03</v>
      </c>
      <c r="F1016" s="543">
        <v>19.2</v>
      </c>
      <c r="G1016" s="514">
        <f>TRUNC(F1016*E1016,2)</f>
        <v>0.56999999999999995</v>
      </c>
    </row>
    <row r="1017" spans="1:7" x14ac:dyDescent="0.25">
      <c r="A1017" s="545">
        <v>88264</v>
      </c>
      <c r="B1017" s="546" t="s">
        <v>792</v>
      </c>
      <c r="C1017" s="499" t="s">
        <v>807</v>
      </c>
      <c r="D1017" s="542" t="s">
        <v>799</v>
      </c>
      <c r="E1017" s="495">
        <v>0.03</v>
      </c>
      <c r="F1017" s="543">
        <v>23.24</v>
      </c>
      <c r="G1017" s="514">
        <f>TRUNC(F1017*E1017,2)</f>
        <v>0.69</v>
      </c>
    </row>
    <row r="1018" spans="1:7" x14ac:dyDescent="0.25">
      <c r="A1018" s="788" t="s">
        <v>21</v>
      </c>
      <c r="B1018" s="789"/>
      <c r="C1018" s="789"/>
      <c r="D1018" s="789"/>
      <c r="E1018" s="789"/>
      <c r="F1018" s="789"/>
      <c r="G1018" s="511">
        <f>SUM(G1016:G1017)</f>
        <v>1.2599999999999998</v>
      </c>
    </row>
    <row r="1019" spans="1:7" x14ac:dyDescent="0.25">
      <c r="A1019" s="780"/>
      <c r="B1019" s="781"/>
      <c r="C1019" s="781"/>
      <c r="D1019" s="781"/>
      <c r="E1019" s="781"/>
      <c r="F1019" s="781"/>
      <c r="G1019" s="782"/>
    </row>
    <row r="1020" spans="1:7" x14ac:dyDescent="0.25">
      <c r="A1020" s="507" t="s">
        <v>785</v>
      </c>
      <c r="B1020" s="485" t="s">
        <v>786</v>
      </c>
      <c r="C1020" s="489" t="s">
        <v>801</v>
      </c>
      <c r="D1020" s="490" t="s">
        <v>788</v>
      </c>
      <c r="E1020" s="496" t="s">
        <v>789</v>
      </c>
      <c r="F1020" s="492" t="s">
        <v>790</v>
      </c>
      <c r="G1020" s="509" t="s">
        <v>791</v>
      </c>
    </row>
    <row r="1021" spans="1:7" x14ac:dyDescent="0.25">
      <c r="A1021" s="515">
        <v>12327</v>
      </c>
      <c r="B1021" s="546" t="s">
        <v>792</v>
      </c>
      <c r="C1021" s="501" t="s">
        <v>1264</v>
      </c>
      <c r="D1021" s="539" t="s">
        <v>62</v>
      </c>
      <c r="E1021" s="498">
        <v>1</v>
      </c>
      <c r="F1021" s="540">
        <v>46.18</v>
      </c>
      <c r="G1021" s="514">
        <f>TRUNC(F1021*E1021,2)</f>
        <v>46.18</v>
      </c>
    </row>
    <row r="1022" spans="1:7" x14ac:dyDescent="0.25">
      <c r="A1022" s="788" t="s">
        <v>21</v>
      </c>
      <c r="B1022" s="789"/>
      <c r="C1022" s="789"/>
      <c r="D1022" s="789"/>
      <c r="E1022" s="789"/>
      <c r="F1022" s="789"/>
      <c r="G1022" s="511">
        <f>SUM(G1021:G1021)</f>
        <v>46.18</v>
      </c>
    </row>
    <row r="1023" spans="1:7" x14ac:dyDescent="0.25">
      <c r="A1023" s="797" t="s">
        <v>796</v>
      </c>
      <c r="B1023" s="786"/>
      <c r="C1023" s="786"/>
      <c r="D1023" s="786"/>
      <c r="E1023" s="786"/>
      <c r="F1023" s="786"/>
      <c r="G1023" s="512">
        <f>G1018+G1022</f>
        <v>47.44</v>
      </c>
    </row>
    <row r="1024" spans="1:7" x14ac:dyDescent="0.25">
      <c r="A1024" s="780"/>
      <c r="B1024" s="781"/>
      <c r="C1024" s="781"/>
      <c r="D1024" s="781"/>
      <c r="E1024" s="781"/>
      <c r="F1024" s="781"/>
      <c r="G1024" s="782"/>
    </row>
    <row r="1025" spans="1:7" x14ac:dyDescent="0.25">
      <c r="A1025" s="772" t="s">
        <v>1245</v>
      </c>
      <c r="B1025" s="773"/>
      <c r="C1025" s="773"/>
      <c r="D1025" s="773"/>
      <c r="E1025" s="773"/>
      <c r="F1025" s="773"/>
      <c r="G1025" s="774"/>
    </row>
    <row r="1026" spans="1:7" x14ac:dyDescent="0.25">
      <c r="A1026" s="772"/>
      <c r="B1026" s="773"/>
      <c r="C1026" s="773"/>
      <c r="D1026" s="773"/>
      <c r="E1026" s="773"/>
      <c r="F1026" s="773"/>
      <c r="G1026" s="774"/>
    </row>
    <row r="1027" spans="1:7" x14ac:dyDescent="0.25">
      <c r="A1027" s="780"/>
      <c r="B1027" s="781"/>
      <c r="C1027" s="781"/>
      <c r="D1027" s="781"/>
      <c r="E1027" s="781"/>
      <c r="F1027" s="781"/>
      <c r="G1027" s="782"/>
    </row>
    <row r="1028" spans="1:7" x14ac:dyDescent="0.25">
      <c r="A1028" s="790" t="s">
        <v>1481</v>
      </c>
      <c r="B1028" s="791"/>
      <c r="C1028" s="798" t="str">
        <f>C1036</f>
        <v>SUPORTE EM ACO GALVANIZADO PARA TRANSFORMADOR PARA POSTE DUPLO T 185 X 95 MM, CHAPA DE 5/16"</v>
      </c>
      <c r="D1028" s="798"/>
      <c r="E1028" s="798"/>
      <c r="F1028" s="798"/>
      <c r="G1028" s="799"/>
    </row>
    <row r="1029" spans="1:7" x14ac:dyDescent="0.25">
      <c r="A1029" s="780"/>
      <c r="B1029" s="781"/>
      <c r="C1029" s="781"/>
      <c r="D1029" s="781"/>
      <c r="E1029" s="781"/>
      <c r="F1029" s="781"/>
      <c r="G1029" s="782"/>
    </row>
    <row r="1030" spans="1:7" x14ac:dyDescent="0.25">
      <c r="A1030" s="507" t="s">
        <v>785</v>
      </c>
      <c r="B1030" s="485" t="s">
        <v>786</v>
      </c>
      <c r="C1030" s="489" t="s">
        <v>787</v>
      </c>
      <c r="D1030" s="490" t="s">
        <v>788</v>
      </c>
      <c r="E1030" s="491" t="s">
        <v>789</v>
      </c>
      <c r="F1030" s="492" t="s">
        <v>790</v>
      </c>
      <c r="G1030" s="509" t="s">
        <v>791</v>
      </c>
    </row>
    <row r="1031" spans="1:7" x14ac:dyDescent="0.25">
      <c r="A1031" s="545">
        <v>88247</v>
      </c>
      <c r="B1031" s="546" t="s">
        <v>792</v>
      </c>
      <c r="C1031" s="499" t="s">
        <v>806</v>
      </c>
      <c r="D1031" s="542" t="s">
        <v>799</v>
      </c>
      <c r="E1031" s="495">
        <v>0.44359999999999999</v>
      </c>
      <c r="F1031" s="543">
        <v>19.2</v>
      </c>
      <c r="G1031" s="514">
        <f>TRUNC(F1031*E1031,2)</f>
        <v>8.51</v>
      </c>
    </row>
    <row r="1032" spans="1:7" x14ac:dyDescent="0.25">
      <c r="A1032" s="545">
        <v>88264</v>
      </c>
      <c r="B1032" s="546" t="s">
        <v>792</v>
      </c>
      <c r="C1032" s="499" t="s">
        <v>807</v>
      </c>
      <c r="D1032" s="542" t="s">
        <v>799</v>
      </c>
      <c r="E1032" s="495">
        <v>0.44359999999999999</v>
      </c>
      <c r="F1032" s="543">
        <v>23.24</v>
      </c>
      <c r="G1032" s="514">
        <f>TRUNC(F1032*E1032,2)</f>
        <v>10.3</v>
      </c>
    </row>
    <row r="1033" spans="1:7" x14ac:dyDescent="0.25">
      <c r="A1033" s="788" t="s">
        <v>21</v>
      </c>
      <c r="B1033" s="789"/>
      <c r="C1033" s="789"/>
      <c r="D1033" s="789"/>
      <c r="E1033" s="789"/>
      <c r="F1033" s="789"/>
      <c r="G1033" s="511">
        <f>SUM(G1031:G1032)</f>
        <v>18.810000000000002</v>
      </c>
    </row>
    <row r="1034" spans="1:7" x14ac:dyDescent="0.25">
      <c r="A1034" s="780"/>
      <c r="B1034" s="781"/>
      <c r="C1034" s="781"/>
      <c r="D1034" s="781"/>
      <c r="E1034" s="781"/>
      <c r="F1034" s="781"/>
      <c r="G1034" s="782"/>
    </row>
    <row r="1035" spans="1:7" x14ac:dyDescent="0.25">
      <c r="A1035" s="507" t="s">
        <v>785</v>
      </c>
      <c r="B1035" s="485" t="s">
        <v>786</v>
      </c>
      <c r="C1035" s="489" t="s">
        <v>801</v>
      </c>
      <c r="D1035" s="490" t="s">
        <v>788</v>
      </c>
      <c r="E1035" s="496" t="s">
        <v>789</v>
      </c>
      <c r="F1035" s="492" t="s">
        <v>790</v>
      </c>
      <c r="G1035" s="509" t="s">
        <v>791</v>
      </c>
    </row>
    <row r="1036" spans="1:7" ht="30" x14ac:dyDescent="0.25">
      <c r="A1036" s="545">
        <v>7576</v>
      </c>
      <c r="B1036" s="546" t="s">
        <v>817</v>
      </c>
      <c r="C1036" s="499" t="s">
        <v>1622</v>
      </c>
      <c r="D1036" s="539" t="s">
        <v>62</v>
      </c>
      <c r="E1036" s="498">
        <v>1</v>
      </c>
      <c r="F1036" s="540">
        <v>201.35</v>
      </c>
      <c r="G1036" s="510">
        <f t="shared" ref="G1036" si="22">TRUNC(E1036*F1036,2)</f>
        <v>201.35</v>
      </c>
    </row>
    <row r="1037" spans="1:7" x14ac:dyDescent="0.25">
      <c r="A1037" s="788" t="s">
        <v>21</v>
      </c>
      <c r="B1037" s="789"/>
      <c r="C1037" s="789"/>
      <c r="D1037" s="789"/>
      <c r="E1037" s="789"/>
      <c r="F1037" s="789"/>
      <c r="G1037" s="511">
        <f>SUM(G1036:G1036)</f>
        <v>201.35</v>
      </c>
    </row>
    <row r="1038" spans="1:7" x14ac:dyDescent="0.25">
      <c r="A1038" s="797" t="s">
        <v>796</v>
      </c>
      <c r="B1038" s="786"/>
      <c r="C1038" s="786"/>
      <c r="D1038" s="786"/>
      <c r="E1038" s="786"/>
      <c r="F1038" s="786"/>
      <c r="G1038" s="512">
        <f>G1033+G1037</f>
        <v>220.16</v>
      </c>
    </row>
    <row r="1039" spans="1:7" x14ac:dyDescent="0.25">
      <c r="A1039" s="780"/>
      <c r="B1039" s="781"/>
      <c r="C1039" s="781"/>
      <c r="D1039" s="781"/>
      <c r="E1039" s="781"/>
      <c r="F1039" s="781"/>
      <c r="G1039" s="782"/>
    </row>
    <row r="1040" spans="1:7" ht="32.25" customHeight="1" x14ac:dyDescent="0.25">
      <c r="A1040" s="772" t="s">
        <v>1265</v>
      </c>
      <c r="B1040" s="773"/>
      <c r="C1040" s="773"/>
      <c r="D1040" s="773"/>
      <c r="E1040" s="773"/>
      <c r="F1040" s="773"/>
      <c r="G1040" s="774"/>
    </row>
    <row r="1041" spans="1:7" x14ac:dyDescent="0.25">
      <c r="A1041" s="772"/>
      <c r="B1041" s="773"/>
      <c r="C1041" s="773"/>
      <c r="D1041" s="773"/>
      <c r="E1041" s="773"/>
      <c r="F1041" s="773"/>
      <c r="G1041" s="774"/>
    </row>
    <row r="1042" spans="1:7" x14ac:dyDescent="0.25">
      <c r="A1042" s="780"/>
      <c r="B1042" s="781"/>
      <c r="C1042" s="781"/>
      <c r="D1042" s="781"/>
      <c r="E1042" s="781"/>
      <c r="F1042" s="781"/>
      <c r="G1042" s="782"/>
    </row>
    <row r="1043" spans="1:7" x14ac:dyDescent="0.25">
      <c r="A1043" s="790" t="s">
        <v>1482</v>
      </c>
      <c r="B1043" s="791"/>
      <c r="C1043" s="798" t="s">
        <v>1267</v>
      </c>
      <c r="D1043" s="798"/>
      <c r="E1043" s="798"/>
      <c r="F1043" s="798"/>
      <c r="G1043" s="799"/>
    </row>
    <row r="1044" spans="1:7" x14ac:dyDescent="0.25">
      <c r="A1044" s="780"/>
      <c r="B1044" s="781"/>
      <c r="C1044" s="781"/>
      <c r="D1044" s="781"/>
      <c r="E1044" s="781"/>
      <c r="F1044" s="781"/>
      <c r="G1044" s="782"/>
    </row>
    <row r="1045" spans="1:7" x14ac:dyDescent="0.25">
      <c r="A1045" s="507" t="s">
        <v>785</v>
      </c>
      <c r="B1045" s="485" t="s">
        <v>786</v>
      </c>
      <c r="C1045" s="489" t="s">
        <v>787</v>
      </c>
      <c r="D1045" s="490" t="s">
        <v>788</v>
      </c>
      <c r="E1045" s="491" t="s">
        <v>789</v>
      </c>
      <c r="F1045" s="492" t="s">
        <v>790</v>
      </c>
      <c r="G1045" s="509" t="s">
        <v>791</v>
      </c>
    </row>
    <row r="1046" spans="1:7" ht="45" x14ac:dyDescent="0.25">
      <c r="A1046" s="545">
        <v>100612</v>
      </c>
      <c r="B1046" s="546" t="s">
        <v>792</v>
      </c>
      <c r="C1046" s="499" t="s">
        <v>1207</v>
      </c>
      <c r="D1046" s="542" t="s">
        <v>62</v>
      </c>
      <c r="E1046" s="495">
        <v>1</v>
      </c>
      <c r="F1046" s="503">
        <v>1006.56</v>
      </c>
      <c r="G1046" s="522">
        <f>TRUNC(E1046*F1046,2)</f>
        <v>1006.56</v>
      </c>
    </row>
    <row r="1047" spans="1:7" x14ac:dyDescent="0.25">
      <c r="A1047" s="788" t="s">
        <v>21</v>
      </c>
      <c r="B1047" s="789"/>
      <c r="C1047" s="789"/>
      <c r="D1047" s="789"/>
      <c r="E1047" s="789"/>
      <c r="F1047" s="789"/>
      <c r="G1047" s="511">
        <f>SUM(G1046:G1046)</f>
        <v>1006.56</v>
      </c>
    </row>
    <row r="1048" spans="1:7" x14ac:dyDescent="0.25">
      <c r="A1048" s="780"/>
      <c r="B1048" s="781"/>
      <c r="C1048" s="781"/>
      <c r="D1048" s="781"/>
      <c r="E1048" s="781"/>
      <c r="F1048" s="781"/>
      <c r="G1048" s="782"/>
    </row>
    <row r="1049" spans="1:7" x14ac:dyDescent="0.25">
      <c r="A1049" s="507" t="s">
        <v>785</v>
      </c>
      <c r="B1049" s="485" t="s">
        <v>786</v>
      </c>
      <c r="C1049" s="489" t="s">
        <v>801</v>
      </c>
      <c r="D1049" s="490" t="s">
        <v>788</v>
      </c>
      <c r="E1049" s="496" t="s">
        <v>789</v>
      </c>
      <c r="F1049" s="492" t="s">
        <v>790</v>
      </c>
      <c r="G1049" s="509" t="s">
        <v>791</v>
      </c>
    </row>
    <row r="1050" spans="1:7" x14ac:dyDescent="0.25">
      <c r="A1050" s="515" t="s">
        <v>1255</v>
      </c>
      <c r="B1050" s="497" t="s">
        <v>808</v>
      </c>
      <c r="C1050" s="501" t="s">
        <v>1266</v>
      </c>
      <c r="D1050" s="539" t="s">
        <v>62</v>
      </c>
      <c r="E1050" s="498">
        <v>1</v>
      </c>
      <c r="F1050" s="540">
        <f>D1057</f>
        <v>2921.27</v>
      </c>
      <c r="G1050" s="514">
        <f>TRUNC(F1050*E1050,2)</f>
        <v>2921.27</v>
      </c>
    </row>
    <row r="1051" spans="1:7" ht="15" customHeight="1" x14ac:dyDescent="0.25">
      <c r="A1051" s="780"/>
      <c r="B1051" s="781"/>
      <c r="C1051" s="781"/>
      <c r="D1051" s="781"/>
      <c r="E1051" s="781"/>
      <c r="F1051" s="781"/>
      <c r="G1051" s="782"/>
    </row>
    <row r="1052" spans="1:7" ht="15" customHeight="1" x14ac:dyDescent="0.25">
      <c r="A1052" s="544" t="s">
        <v>809</v>
      </c>
      <c r="B1052" s="802" t="str">
        <f>C1050</f>
        <v>POSTE DE CONCRETO CIRCULAR 11/600</v>
      </c>
      <c r="C1052" s="802"/>
      <c r="D1052" s="784"/>
      <c r="E1052" s="784"/>
      <c r="F1052" s="502"/>
      <c r="G1052" s="516"/>
    </row>
    <row r="1053" spans="1:7" ht="15" customHeight="1" x14ac:dyDescent="0.25">
      <c r="A1053" s="545"/>
      <c r="B1053" s="728" t="s">
        <v>1247</v>
      </c>
      <c r="C1053" s="728"/>
      <c r="D1053" s="784" t="s">
        <v>810</v>
      </c>
      <c r="E1053" s="784"/>
      <c r="F1053" s="541" t="s">
        <v>811</v>
      </c>
      <c r="G1053" s="516" t="s">
        <v>1183</v>
      </c>
    </row>
    <row r="1054" spans="1:7" ht="15" customHeight="1" x14ac:dyDescent="0.25">
      <c r="A1054" s="517">
        <v>44740</v>
      </c>
      <c r="B1054" s="775" t="s">
        <v>1358</v>
      </c>
      <c r="C1054" s="775"/>
      <c r="D1054" s="776">
        <v>2921.27</v>
      </c>
      <c r="E1054" s="776"/>
      <c r="F1054" s="542" t="s">
        <v>1212</v>
      </c>
      <c r="G1054" s="518" t="s">
        <v>1359</v>
      </c>
    </row>
    <row r="1055" spans="1:7" ht="15" customHeight="1" x14ac:dyDescent="0.25">
      <c r="A1055" s="517">
        <v>44825</v>
      </c>
      <c r="B1055" s="851" t="s">
        <v>1633</v>
      </c>
      <c r="C1055" s="852"/>
      <c r="D1055" s="853">
        <v>7575.1</v>
      </c>
      <c r="E1055" s="854"/>
      <c r="F1055" s="542" t="s">
        <v>1209</v>
      </c>
      <c r="G1055" s="518" t="s">
        <v>1634</v>
      </c>
    </row>
    <row r="1056" spans="1:7" ht="15" customHeight="1" x14ac:dyDescent="0.25">
      <c r="A1056" s="517">
        <v>44826</v>
      </c>
      <c r="B1056" s="851" t="s">
        <v>1635</v>
      </c>
      <c r="C1056" s="852"/>
      <c r="D1056" s="853">
        <v>2405.5300000000002</v>
      </c>
      <c r="E1056" s="854"/>
      <c r="F1056" s="542" t="s">
        <v>1636</v>
      </c>
      <c r="G1056" s="518" t="s">
        <v>1637</v>
      </c>
    </row>
    <row r="1057" spans="1:7" x14ac:dyDescent="0.25">
      <c r="A1057" s="787" t="s">
        <v>1632</v>
      </c>
      <c r="B1057" s="777"/>
      <c r="C1057" s="777"/>
      <c r="D1057" s="800">
        <f>MEDIAN(D1054:E1056)</f>
        <v>2921.27</v>
      </c>
      <c r="E1057" s="800"/>
      <c r="F1057" s="800"/>
      <c r="G1057" s="801"/>
    </row>
    <row r="1058" spans="1:7" x14ac:dyDescent="0.25">
      <c r="A1058" s="788" t="s">
        <v>21</v>
      </c>
      <c r="B1058" s="789"/>
      <c r="C1058" s="789"/>
      <c r="D1058" s="789"/>
      <c r="E1058" s="789"/>
      <c r="F1058" s="789"/>
      <c r="G1058" s="511">
        <f>SUM(G1050:G1050)</f>
        <v>2921.27</v>
      </c>
    </row>
    <row r="1059" spans="1:7" x14ac:dyDescent="0.25">
      <c r="A1059" s="797" t="s">
        <v>796</v>
      </c>
      <c r="B1059" s="786"/>
      <c r="C1059" s="786"/>
      <c r="D1059" s="786"/>
      <c r="E1059" s="786"/>
      <c r="F1059" s="786"/>
      <c r="G1059" s="512">
        <f>G1047+G1058</f>
        <v>3927.83</v>
      </c>
    </row>
    <row r="1060" spans="1:7" x14ac:dyDescent="0.25">
      <c r="A1060" s="794"/>
      <c r="B1060" s="795"/>
      <c r="C1060" s="795"/>
      <c r="D1060" s="795"/>
      <c r="E1060" s="795"/>
      <c r="F1060" s="795"/>
      <c r="G1060" s="796"/>
    </row>
    <row r="1061" spans="1:7" x14ac:dyDescent="0.25">
      <c r="A1061" s="803" t="s">
        <v>1657</v>
      </c>
      <c r="B1061" s="804"/>
      <c r="C1061" s="804"/>
      <c r="D1061" s="804"/>
      <c r="E1061" s="804"/>
      <c r="F1061" s="804"/>
      <c r="G1061" s="805"/>
    </row>
    <row r="1062" spans="1:7" x14ac:dyDescent="0.25">
      <c r="A1062" s="803"/>
      <c r="B1062" s="804"/>
      <c r="C1062" s="804"/>
      <c r="D1062" s="804"/>
      <c r="E1062" s="804"/>
      <c r="F1062" s="804"/>
      <c r="G1062" s="805"/>
    </row>
    <row r="1063" spans="1:7" x14ac:dyDescent="0.25">
      <c r="A1063" s="724" t="s">
        <v>1385</v>
      </c>
      <c r="B1063" s="725"/>
      <c r="C1063" s="725"/>
      <c r="D1063" s="725"/>
      <c r="E1063" s="725"/>
      <c r="F1063" s="725"/>
      <c r="G1063" s="726"/>
    </row>
    <row r="1064" spans="1:7" x14ac:dyDescent="0.25">
      <c r="A1064" s="780"/>
      <c r="B1064" s="781"/>
      <c r="C1064" s="781"/>
      <c r="D1064" s="781"/>
      <c r="E1064" s="781"/>
      <c r="F1064" s="781"/>
      <c r="G1064" s="782"/>
    </row>
    <row r="1065" spans="1:7" x14ac:dyDescent="0.25">
      <c r="A1065" s="790" t="s">
        <v>1483</v>
      </c>
      <c r="B1065" s="791"/>
      <c r="C1065" s="834" t="s">
        <v>1269</v>
      </c>
      <c r="D1065" s="834"/>
      <c r="E1065" s="834"/>
      <c r="F1065" s="834"/>
      <c r="G1065" s="835"/>
    </row>
    <row r="1066" spans="1:7" x14ac:dyDescent="0.25">
      <c r="A1066" s="780"/>
      <c r="B1066" s="781"/>
      <c r="C1066" s="781"/>
      <c r="D1066" s="781"/>
      <c r="E1066" s="781"/>
      <c r="F1066" s="781"/>
      <c r="G1066" s="782"/>
    </row>
    <row r="1067" spans="1:7" x14ac:dyDescent="0.25">
      <c r="A1067" s="507" t="s">
        <v>785</v>
      </c>
      <c r="B1067" s="485" t="s">
        <v>786</v>
      </c>
      <c r="C1067" s="489" t="s">
        <v>787</v>
      </c>
      <c r="D1067" s="490" t="s">
        <v>788</v>
      </c>
      <c r="E1067" s="491" t="s">
        <v>789</v>
      </c>
      <c r="F1067" s="492" t="s">
        <v>790</v>
      </c>
      <c r="G1067" s="509" t="s">
        <v>791</v>
      </c>
    </row>
    <row r="1068" spans="1:7" x14ac:dyDescent="0.25">
      <c r="A1068" s="545">
        <v>88264</v>
      </c>
      <c r="B1068" s="546" t="s">
        <v>792</v>
      </c>
      <c r="C1068" s="499" t="s">
        <v>807</v>
      </c>
      <c r="D1068" s="542" t="s">
        <v>799</v>
      </c>
      <c r="E1068" s="504">
        <v>0.12</v>
      </c>
      <c r="F1068" s="543">
        <v>23.24</v>
      </c>
      <c r="G1068" s="510">
        <f>TRUNC(E1068*F1068,2)</f>
        <v>2.78</v>
      </c>
    </row>
    <row r="1069" spans="1:7" x14ac:dyDescent="0.25">
      <c r="A1069" s="788" t="s">
        <v>21</v>
      </c>
      <c r="B1069" s="789"/>
      <c r="C1069" s="789"/>
      <c r="D1069" s="789"/>
      <c r="E1069" s="789"/>
      <c r="F1069" s="789"/>
      <c r="G1069" s="511">
        <f>SUM(G1068:G1068)</f>
        <v>2.78</v>
      </c>
    </row>
    <row r="1070" spans="1:7" x14ac:dyDescent="0.25">
      <c r="A1070" s="780"/>
      <c r="B1070" s="781"/>
      <c r="C1070" s="781"/>
      <c r="D1070" s="781"/>
      <c r="E1070" s="781"/>
      <c r="F1070" s="781"/>
      <c r="G1070" s="782"/>
    </row>
    <row r="1071" spans="1:7" x14ac:dyDescent="0.25">
      <c r="A1071" s="507" t="s">
        <v>785</v>
      </c>
      <c r="B1071" s="485" t="s">
        <v>786</v>
      </c>
      <c r="C1071" s="489" t="s">
        <v>801</v>
      </c>
      <c r="D1071" s="490" t="s">
        <v>788</v>
      </c>
      <c r="E1071" s="496" t="s">
        <v>789</v>
      </c>
      <c r="F1071" s="492" t="s">
        <v>790</v>
      </c>
      <c r="G1071" s="509" t="s">
        <v>791</v>
      </c>
    </row>
    <row r="1072" spans="1:7" ht="30" x14ac:dyDescent="0.25">
      <c r="A1072" s="545">
        <v>1578</v>
      </c>
      <c r="B1072" s="546" t="s">
        <v>792</v>
      </c>
      <c r="C1072" s="499" t="s">
        <v>1546</v>
      </c>
      <c r="D1072" s="539" t="s">
        <v>62</v>
      </c>
      <c r="E1072" s="498">
        <v>1</v>
      </c>
      <c r="F1072" s="540">
        <v>4.84</v>
      </c>
      <c r="G1072" s="510">
        <f>TRUNC(E1072*F1072,2)</f>
        <v>4.84</v>
      </c>
    </row>
    <row r="1073" spans="1:7" x14ac:dyDescent="0.25">
      <c r="A1073" s="788" t="s">
        <v>21</v>
      </c>
      <c r="B1073" s="789"/>
      <c r="C1073" s="789"/>
      <c r="D1073" s="789"/>
      <c r="E1073" s="789"/>
      <c r="F1073" s="789"/>
      <c r="G1073" s="511">
        <f>SUM(G1072:G1072)</f>
        <v>4.84</v>
      </c>
    </row>
    <row r="1074" spans="1:7" x14ac:dyDescent="0.25">
      <c r="A1074" s="797" t="s">
        <v>796</v>
      </c>
      <c r="B1074" s="786"/>
      <c r="C1074" s="786"/>
      <c r="D1074" s="786"/>
      <c r="E1074" s="786"/>
      <c r="F1074" s="786"/>
      <c r="G1074" s="512">
        <f>G1069+G1073</f>
        <v>7.6199999999999992</v>
      </c>
    </row>
    <row r="1075" spans="1:7" x14ac:dyDescent="0.25">
      <c r="A1075" s="780"/>
      <c r="B1075" s="781"/>
      <c r="C1075" s="781"/>
      <c r="D1075" s="781"/>
      <c r="E1075" s="781"/>
      <c r="F1075" s="781"/>
      <c r="G1075" s="782"/>
    </row>
    <row r="1076" spans="1:7" x14ac:dyDescent="0.25">
      <c r="A1076" s="772" t="s">
        <v>1658</v>
      </c>
      <c r="B1076" s="773"/>
      <c r="C1076" s="773"/>
      <c r="D1076" s="773"/>
      <c r="E1076" s="773"/>
      <c r="F1076" s="773"/>
      <c r="G1076" s="774"/>
    </row>
    <row r="1077" spans="1:7" x14ac:dyDescent="0.25">
      <c r="A1077" s="772"/>
      <c r="B1077" s="773"/>
      <c r="C1077" s="773"/>
      <c r="D1077" s="773"/>
      <c r="E1077" s="773"/>
      <c r="F1077" s="773"/>
      <c r="G1077" s="774"/>
    </row>
    <row r="1078" spans="1:7" x14ac:dyDescent="0.25">
      <c r="A1078" s="780"/>
      <c r="B1078" s="781"/>
      <c r="C1078" s="781"/>
      <c r="D1078" s="781"/>
      <c r="E1078" s="781"/>
      <c r="F1078" s="781"/>
      <c r="G1078" s="782"/>
    </row>
    <row r="1079" spans="1:7" x14ac:dyDescent="0.25">
      <c r="A1079" s="790" t="s">
        <v>1484</v>
      </c>
      <c r="B1079" s="791"/>
      <c r="C1079" s="792" t="str">
        <f>B1090</f>
        <v>ELO FUSIVEL 5H</v>
      </c>
      <c r="D1079" s="792"/>
      <c r="E1079" s="792"/>
      <c r="F1079" s="792"/>
      <c r="G1079" s="793"/>
    </row>
    <row r="1080" spans="1:7" x14ac:dyDescent="0.25">
      <c r="A1080" s="780"/>
      <c r="B1080" s="781"/>
      <c r="C1080" s="781"/>
      <c r="D1080" s="781"/>
      <c r="E1080" s="781"/>
      <c r="F1080" s="781"/>
      <c r="G1080" s="782"/>
    </row>
    <row r="1081" spans="1:7" x14ac:dyDescent="0.25">
      <c r="A1081" s="507" t="s">
        <v>785</v>
      </c>
      <c r="B1081" s="485" t="s">
        <v>786</v>
      </c>
      <c r="C1081" s="489" t="s">
        <v>787</v>
      </c>
      <c r="D1081" s="490" t="s">
        <v>788</v>
      </c>
      <c r="E1081" s="491" t="s">
        <v>789</v>
      </c>
      <c r="F1081" s="492" t="s">
        <v>790</v>
      </c>
      <c r="G1081" s="509" t="s">
        <v>791</v>
      </c>
    </row>
    <row r="1082" spans="1:7" x14ac:dyDescent="0.25">
      <c r="A1082" s="545">
        <v>88247</v>
      </c>
      <c r="B1082" s="546" t="s">
        <v>792</v>
      </c>
      <c r="C1082" s="499" t="s">
        <v>806</v>
      </c>
      <c r="D1082" s="542" t="s">
        <v>799</v>
      </c>
      <c r="E1082" s="495">
        <v>0.15</v>
      </c>
      <c r="F1082" s="543">
        <v>19.2</v>
      </c>
      <c r="G1082" s="514">
        <f>TRUNC(F1082*E1082,2)</f>
        <v>2.88</v>
      </c>
    </row>
    <row r="1083" spans="1:7" x14ac:dyDescent="0.25">
      <c r="A1083" s="545">
        <v>88264</v>
      </c>
      <c r="B1083" s="546" t="s">
        <v>792</v>
      </c>
      <c r="C1083" s="499" t="s">
        <v>807</v>
      </c>
      <c r="D1083" s="542" t="s">
        <v>799</v>
      </c>
      <c r="E1083" s="495">
        <v>0.15</v>
      </c>
      <c r="F1083" s="543">
        <v>23.24</v>
      </c>
      <c r="G1083" s="514">
        <f>TRUNC(F1083*E1083,2)</f>
        <v>3.48</v>
      </c>
    </row>
    <row r="1084" spans="1:7" x14ac:dyDescent="0.25">
      <c r="A1084" s="788" t="s">
        <v>21</v>
      </c>
      <c r="B1084" s="789"/>
      <c r="C1084" s="789"/>
      <c r="D1084" s="789"/>
      <c r="E1084" s="789"/>
      <c r="F1084" s="789"/>
      <c r="G1084" s="511">
        <f>SUM(G1082:G1083)</f>
        <v>6.3599999999999994</v>
      </c>
    </row>
    <row r="1085" spans="1:7" x14ac:dyDescent="0.25">
      <c r="A1085" s="780"/>
      <c r="B1085" s="781"/>
      <c r="C1085" s="781"/>
      <c r="D1085" s="781"/>
      <c r="E1085" s="781"/>
      <c r="F1085" s="781"/>
      <c r="G1085" s="782"/>
    </row>
    <row r="1086" spans="1:7" x14ac:dyDescent="0.25">
      <c r="A1086" s="507" t="s">
        <v>785</v>
      </c>
      <c r="B1086" s="485" t="s">
        <v>786</v>
      </c>
      <c r="C1086" s="489" t="s">
        <v>801</v>
      </c>
      <c r="D1086" s="490" t="s">
        <v>788</v>
      </c>
      <c r="E1086" s="496" t="s">
        <v>789</v>
      </c>
      <c r="F1086" s="492" t="s">
        <v>790</v>
      </c>
      <c r="G1086" s="509" t="s">
        <v>791</v>
      </c>
    </row>
    <row r="1087" spans="1:7" x14ac:dyDescent="0.25">
      <c r="A1087" s="515" t="s">
        <v>815</v>
      </c>
      <c r="B1087" s="546" t="s">
        <v>808</v>
      </c>
      <c r="C1087" s="501" t="str">
        <f>B1090</f>
        <v>ELO FUSIVEL 5H</v>
      </c>
      <c r="D1087" s="539" t="s">
        <v>62</v>
      </c>
      <c r="E1087" s="498">
        <v>1</v>
      </c>
      <c r="F1087" s="540">
        <f>D1095</f>
        <v>3.47</v>
      </c>
      <c r="G1087" s="514">
        <f>TRUNC(F1087*E1087,2)</f>
        <v>3.47</v>
      </c>
    </row>
    <row r="1088" spans="1:7" x14ac:dyDescent="0.25">
      <c r="A1088" s="788" t="s">
        <v>21</v>
      </c>
      <c r="B1088" s="789"/>
      <c r="C1088" s="789"/>
      <c r="D1088" s="789"/>
      <c r="E1088" s="789"/>
      <c r="F1088" s="789"/>
      <c r="G1088" s="511">
        <f>SUM(G1087:G1087)</f>
        <v>3.47</v>
      </c>
    </row>
    <row r="1089" spans="1:7" x14ac:dyDescent="0.25">
      <c r="A1089" s="797" t="s">
        <v>796</v>
      </c>
      <c r="B1089" s="786"/>
      <c r="C1089" s="786"/>
      <c r="D1089" s="786"/>
      <c r="E1089" s="786"/>
      <c r="F1089" s="786"/>
      <c r="G1089" s="512">
        <f>G1084+G1088</f>
        <v>9.83</v>
      </c>
    </row>
    <row r="1090" spans="1:7" ht="15" customHeight="1" x14ac:dyDescent="0.25">
      <c r="A1090" s="544" t="s">
        <v>809</v>
      </c>
      <c r="B1090" s="802" t="s">
        <v>1270</v>
      </c>
      <c r="C1090" s="802"/>
      <c r="D1090" s="802"/>
      <c r="E1090" s="802"/>
      <c r="F1090" s="802"/>
      <c r="G1090" s="809"/>
    </row>
    <row r="1091" spans="1:7" x14ac:dyDescent="0.25">
      <c r="A1091" s="545"/>
      <c r="B1091" s="728" t="s">
        <v>1247</v>
      </c>
      <c r="C1091" s="728"/>
      <c r="D1091" s="784" t="s">
        <v>810</v>
      </c>
      <c r="E1091" s="784"/>
      <c r="F1091" s="541" t="s">
        <v>811</v>
      </c>
      <c r="G1091" s="516" t="s">
        <v>1183</v>
      </c>
    </row>
    <row r="1092" spans="1:7" x14ac:dyDescent="0.25">
      <c r="A1092" s="517">
        <v>44740</v>
      </c>
      <c r="B1092" s="775" t="s">
        <v>1358</v>
      </c>
      <c r="C1092" s="775"/>
      <c r="D1092" s="776">
        <v>4.13</v>
      </c>
      <c r="E1092" s="776"/>
      <c r="F1092" s="542" t="s">
        <v>1212</v>
      </c>
      <c r="G1092" s="518" t="s">
        <v>1359</v>
      </c>
    </row>
    <row r="1093" spans="1:7" x14ac:dyDescent="0.25">
      <c r="A1093" s="519">
        <v>44741</v>
      </c>
      <c r="B1093" s="785" t="s">
        <v>1362</v>
      </c>
      <c r="C1093" s="785"/>
      <c r="D1093" s="783">
        <v>3.47</v>
      </c>
      <c r="E1093" s="783"/>
      <c r="F1093" s="539" t="s">
        <v>1182</v>
      </c>
      <c r="G1093" s="520" t="s">
        <v>1363</v>
      </c>
    </row>
    <row r="1094" spans="1:7" x14ac:dyDescent="0.25">
      <c r="A1094" s="519">
        <v>44741</v>
      </c>
      <c r="B1094" s="785" t="s">
        <v>1248</v>
      </c>
      <c r="C1094" s="785"/>
      <c r="D1094" s="783">
        <v>2.91</v>
      </c>
      <c r="E1094" s="783"/>
      <c r="F1094" s="539" t="s">
        <v>1360</v>
      </c>
      <c r="G1094" s="520" t="s">
        <v>1361</v>
      </c>
    </row>
    <row r="1095" spans="1:7" x14ac:dyDescent="0.25">
      <c r="A1095" s="787" t="s">
        <v>812</v>
      </c>
      <c r="B1095" s="777"/>
      <c r="C1095" s="777"/>
      <c r="D1095" s="800">
        <f>MEDIAN(D1092:E1094)</f>
        <v>3.47</v>
      </c>
      <c r="E1095" s="800"/>
      <c r="F1095" s="800"/>
      <c r="G1095" s="801"/>
    </row>
    <row r="1096" spans="1:7" x14ac:dyDescent="0.25">
      <c r="A1096" s="780"/>
      <c r="B1096" s="781"/>
      <c r="C1096" s="781"/>
      <c r="D1096" s="781"/>
      <c r="E1096" s="781"/>
      <c r="F1096" s="781"/>
      <c r="G1096" s="782"/>
    </row>
    <row r="1097" spans="1:7" x14ac:dyDescent="0.25">
      <c r="A1097" s="772" t="s">
        <v>1273</v>
      </c>
      <c r="B1097" s="773"/>
      <c r="C1097" s="773"/>
      <c r="D1097" s="773"/>
      <c r="E1097" s="773"/>
      <c r="F1097" s="773"/>
      <c r="G1097" s="774"/>
    </row>
    <row r="1098" spans="1:7" x14ac:dyDescent="0.25">
      <c r="A1098" s="772"/>
      <c r="B1098" s="773"/>
      <c r="C1098" s="773"/>
      <c r="D1098" s="773"/>
      <c r="E1098" s="773"/>
      <c r="F1098" s="773"/>
      <c r="G1098" s="774"/>
    </row>
    <row r="1099" spans="1:7" x14ac:dyDescent="0.25">
      <c r="A1099" s="780"/>
      <c r="B1099" s="781"/>
      <c r="C1099" s="781"/>
      <c r="D1099" s="781"/>
      <c r="E1099" s="781"/>
      <c r="F1099" s="781"/>
      <c r="G1099" s="782"/>
    </row>
    <row r="1100" spans="1:7" x14ac:dyDescent="0.25">
      <c r="A1100" s="790" t="s">
        <v>1485</v>
      </c>
      <c r="B1100" s="791"/>
      <c r="C1100" s="792" t="str">
        <f>B1111</f>
        <v>ELO FUSIVEL 10K</v>
      </c>
      <c r="D1100" s="792"/>
      <c r="E1100" s="792"/>
      <c r="F1100" s="792"/>
      <c r="G1100" s="793"/>
    </row>
    <row r="1101" spans="1:7" x14ac:dyDescent="0.25">
      <c r="A1101" s="780"/>
      <c r="B1101" s="781"/>
      <c r="C1101" s="781"/>
      <c r="D1101" s="781"/>
      <c r="E1101" s="781"/>
      <c r="F1101" s="781"/>
      <c r="G1101" s="782"/>
    </row>
    <row r="1102" spans="1:7" x14ac:dyDescent="0.25">
      <c r="A1102" s="507" t="s">
        <v>785</v>
      </c>
      <c r="B1102" s="485" t="s">
        <v>786</v>
      </c>
      <c r="C1102" s="489" t="s">
        <v>787</v>
      </c>
      <c r="D1102" s="490" t="s">
        <v>788</v>
      </c>
      <c r="E1102" s="491" t="s">
        <v>789</v>
      </c>
      <c r="F1102" s="492" t="s">
        <v>790</v>
      </c>
      <c r="G1102" s="509" t="s">
        <v>791</v>
      </c>
    </row>
    <row r="1103" spans="1:7" x14ac:dyDescent="0.25">
      <c r="A1103" s="545">
        <v>88247</v>
      </c>
      <c r="B1103" s="546" t="s">
        <v>792</v>
      </c>
      <c r="C1103" s="499" t="s">
        <v>806</v>
      </c>
      <c r="D1103" s="542" t="s">
        <v>799</v>
      </c>
      <c r="E1103" s="495">
        <v>0.15</v>
      </c>
      <c r="F1103" s="543">
        <v>19.2</v>
      </c>
      <c r="G1103" s="514">
        <f>TRUNC(F1103*E1103,2)</f>
        <v>2.88</v>
      </c>
    </row>
    <row r="1104" spans="1:7" x14ac:dyDescent="0.25">
      <c r="A1104" s="545">
        <v>88264</v>
      </c>
      <c r="B1104" s="546" t="s">
        <v>792</v>
      </c>
      <c r="C1104" s="499" t="s">
        <v>807</v>
      </c>
      <c r="D1104" s="542" t="s">
        <v>799</v>
      </c>
      <c r="E1104" s="495">
        <v>0.15</v>
      </c>
      <c r="F1104" s="543">
        <v>23.24</v>
      </c>
      <c r="G1104" s="514">
        <f>TRUNC(F1104*E1104,2)</f>
        <v>3.48</v>
      </c>
    </row>
    <row r="1105" spans="1:7" x14ac:dyDescent="0.25">
      <c r="A1105" s="788" t="s">
        <v>21</v>
      </c>
      <c r="B1105" s="789"/>
      <c r="C1105" s="789"/>
      <c r="D1105" s="789"/>
      <c r="E1105" s="789"/>
      <c r="F1105" s="789"/>
      <c r="G1105" s="511">
        <f>SUM(G1103:G1104)</f>
        <v>6.3599999999999994</v>
      </c>
    </row>
    <row r="1106" spans="1:7" x14ac:dyDescent="0.25">
      <c r="A1106" s="780"/>
      <c r="B1106" s="781"/>
      <c r="C1106" s="781"/>
      <c r="D1106" s="781"/>
      <c r="E1106" s="781"/>
      <c r="F1106" s="781"/>
      <c r="G1106" s="782"/>
    </row>
    <row r="1107" spans="1:7" x14ac:dyDescent="0.25">
      <c r="A1107" s="507" t="s">
        <v>785</v>
      </c>
      <c r="B1107" s="485" t="s">
        <v>786</v>
      </c>
      <c r="C1107" s="489" t="s">
        <v>801</v>
      </c>
      <c r="D1107" s="490" t="s">
        <v>788</v>
      </c>
      <c r="E1107" s="496" t="s">
        <v>789</v>
      </c>
      <c r="F1107" s="492" t="s">
        <v>790</v>
      </c>
      <c r="G1107" s="509" t="s">
        <v>791</v>
      </c>
    </row>
    <row r="1108" spans="1:7" x14ac:dyDescent="0.25">
      <c r="A1108" s="515" t="s">
        <v>815</v>
      </c>
      <c r="B1108" s="546" t="s">
        <v>808</v>
      </c>
      <c r="C1108" s="501" t="str">
        <f>B1111</f>
        <v>ELO FUSIVEL 10K</v>
      </c>
      <c r="D1108" s="539" t="s">
        <v>62</v>
      </c>
      <c r="E1108" s="498">
        <v>1</v>
      </c>
      <c r="F1108" s="540">
        <f>D1116</f>
        <v>3.62</v>
      </c>
      <c r="G1108" s="514">
        <f>TRUNC(F1108*E1108,2)</f>
        <v>3.62</v>
      </c>
    </row>
    <row r="1109" spans="1:7" x14ac:dyDescent="0.25">
      <c r="A1109" s="788" t="s">
        <v>21</v>
      </c>
      <c r="B1109" s="789"/>
      <c r="C1109" s="789"/>
      <c r="D1109" s="789"/>
      <c r="E1109" s="789"/>
      <c r="F1109" s="789"/>
      <c r="G1109" s="511">
        <f>SUM(G1108:G1108)</f>
        <v>3.62</v>
      </c>
    </row>
    <row r="1110" spans="1:7" x14ac:dyDescent="0.25">
      <c r="A1110" s="797" t="s">
        <v>796</v>
      </c>
      <c r="B1110" s="786"/>
      <c r="C1110" s="786"/>
      <c r="D1110" s="786"/>
      <c r="E1110" s="786"/>
      <c r="F1110" s="786"/>
      <c r="G1110" s="512">
        <f>G1105+G1109</f>
        <v>9.98</v>
      </c>
    </row>
    <row r="1111" spans="1:7" x14ac:dyDescent="0.25">
      <c r="A1111" s="544" t="s">
        <v>809</v>
      </c>
      <c r="B1111" s="802" t="s">
        <v>1271</v>
      </c>
      <c r="C1111" s="802"/>
      <c r="D1111" s="784"/>
      <c r="E1111" s="784"/>
      <c r="F1111" s="502"/>
      <c r="G1111" s="516"/>
    </row>
    <row r="1112" spans="1:7" x14ac:dyDescent="0.25">
      <c r="A1112" s="545"/>
      <c r="B1112" s="728" t="s">
        <v>1247</v>
      </c>
      <c r="C1112" s="728"/>
      <c r="D1112" s="784" t="s">
        <v>810</v>
      </c>
      <c r="E1112" s="784"/>
      <c r="F1112" s="541" t="s">
        <v>811</v>
      </c>
      <c r="G1112" s="516" t="s">
        <v>1183</v>
      </c>
    </row>
    <row r="1113" spans="1:7" x14ac:dyDescent="0.25">
      <c r="A1113" s="517">
        <v>44740</v>
      </c>
      <c r="B1113" s="775" t="s">
        <v>1358</v>
      </c>
      <c r="C1113" s="775"/>
      <c r="D1113" s="776">
        <v>4.13</v>
      </c>
      <c r="E1113" s="776"/>
      <c r="F1113" s="542" t="s">
        <v>1212</v>
      </c>
      <c r="G1113" s="518" t="s">
        <v>1359</v>
      </c>
    </row>
    <row r="1114" spans="1:7" x14ac:dyDescent="0.25">
      <c r="A1114" s="519">
        <v>44741</v>
      </c>
      <c r="B1114" s="785" t="s">
        <v>1362</v>
      </c>
      <c r="C1114" s="785"/>
      <c r="D1114" s="783">
        <v>3.62</v>
      </c>
      <c r="E1114" s="783"/>
      <c r="F1114" s="539" t="s">
        <v>1182</v>
      </c>
      <c r="G1114" s="520" t="s">
        <v>1363</v>
      </c>
    </row>
    <row r="1115" spans="1:7" x14ac:dyDescent="0.25">
      <c r="A1115" s="519">
        <v>44741</v>
      </c>
      <c r="B1115" s="785" t="s">
        <v>1248</v>
      </c>
      <c r="C1115" s="785"/>
      <c r="D1115" s="783">
        <v>2.91</v>
      </c>
      <c r="E1115" s="783"/>
      <c r="F1115" s="539" t="s">
        <v>1360</v>
      </c>
      <c r="G1115" s="520" t="s">
        <v>1361</v>
      </c>
    </row>
    <row r="1116" spans="1:7" x14ac:dyDescent="0.25">
      <c r="A1116" s="787" t="s">
        <v>812</v>
      </c>
      <c r="B1116" s="777"/>
      <c r="C1116" s="777"/>
      <c r="D1116" s="800">
        <f>MEDIAN(D1113:E1115)</f>
        <v>3.62</v>
      </c>
      <c r="E1116" s="800"/>
      <c r="F1116" s="800"/>
      <c r="G1116" s="801"/>
    </row>
    <row r="1117" spans="1:7" x14ac:dyDescent="0.25">
      <c r="A1117" s="780"/>
      <c r="B1117" s="781"/>
      <c r="C1117" s="781"/>
      <c r="D1117" s="781"/>
      <c r="E1117" s="781"/>
      <c r="F1117" s="781"/>
      <c r="G1117" s="782"/>
    </row>
    <row r="1118" spans="1:7" x14ac:dyDescent="0.25">
      <c r="A1118" s="772" t="s">
        <v>1274</v>
      </c>
      <c r="B1118" s="773"/>
      <c r="C1118" s="773"/>
      <c r="D1118" s="773"/>
      <c r="E1118" s="773"/>
      <c r="F1118" s="773"/>
      <c r="G1118" s="774"/>
    </row>
    <row r="1119" spans="1:7" x14ac:dyDescent="0.25">
      <c r="A1119" s="772"/>
      <c r="B1119" s="773"/>
      <c r="C1119" s="773"/>
      <c r="D1119" s="773"/>
      <c r="E1119" s="773"/>
      <c r="F1119" s="773"/>
      <c r="G1119" s="774"/>
    </row>
    <row r="1120" spans="1:7" x14ac:dyDescent="0.25">
      <c r="A1120" s="780"/>
      <c r="B1120" s="781"/>
      <c r="C1120" s="781"/>
      <c r="D1120" s="781"/>
      <c r="E1120" s="781"/>
      <c r="F1120" s="781"/>
      <c r="G1120" s="782"/>
    </row>
    <row r="1121" spans="1:7" x14ac:dyDescent="0.25">
      <c r="A1121" s="790" t="s">
        <v>1486</v>
      </c>
      <c r="B1121" s="791"/>
      <c r="C1121" s="798" t="str">
        <f>B1133</f>
        <v>CABO COBRE ISOLADO XLPE 0,6/1KV - 95 MM</v>
      </c>
      <c r="D1121" s="798"/>
      <c r="E1121" s="798"/>
      <c r="F1121" s="798"/>
      <c r="G1121" s="799"/>
    </row>
    <row r="1122" spans="1:7" x14ac:dyDescent="0.25">
      <c r="A1122" s="780"/>
      <c r="B1122" s="781"/>
      <c r="C1122" s="781"/>
      <c r="D1122" s="781"/>
      <c r="E1122" s="781"/>
      <c r="F1122" s="781"/>
      <c r="G1122" s="782"/>
    </row>
    <row r="1123" spans="1:7" x14ac:dyDescent="0.25">
      <c r="A1123" s="507" t="s">
        <v>785</v>
      </c>
      <c r="B1123" s="485" t="s">
        <v>786</v>
      </c>
      <c r="C1123" s="489" t="s">
        <v>787</v>
      </c>
      <c r="D1123" s="490" t="s">
        <v>788</v>
      </c>
      <c r="E1123" s="491" t="s">
        <v>789</v>
      </c>
      <c r="F1123" s="492" t="s">
        <v>790</v>
      </c>
      <c r="G1123" s="509" t="s">
        <v>791</v>
      </c>
    </row>
    <row r="1124" spans="1:7" x14ac:dyDescent="0.25">
      <c r="A1124" s="545">
        <v>88247</v>
      </c>
      <c r="B1124" s="546" t="s">
        <v>792</v>
      </c>
      <c r="C1124" s="499" t="s">
        <v>806</v>
      </c>
      <c r="D1124" s="542" t="s">
        <v>799</v>
      </c>
      <c r="E1124" s="495">
        <v>0.66</v>
      </c>
      <c r="F1124" s="543">
        <v>19.2</v>
      </c>
      <c r="G1124" s="514">
        <f>TRUNC(F1124*E1124,2)</f>
        <v>12.67</v>
      </c>
    </row>
    <row r="1125" spans="1:7" x14ac:dyDescent="0.25">
      <c r="A1125" s="545">
        <v>88264</v>
      </c>
      <c r="B1125" s="546" t="s">
        <v>792</v>
      </c>
      <c r="C1125" s="499" t="s">
        <v>807</v>
      </c>
      <c r="D1125" s="542" t="s">
        <v>799</v>
      </c>
      <c r="E1125" s="495">
        <v>0.66</v>
      </c>
      <c r="F1125" s="543">
        <v>23.24</v>
      </c>
      <c r="G1125" s="514">
        <f>TRUNC(F1125*E1125,2)</f>
        <v>15.33</v>
      </c>
    </row>
    <row r="1126" spans="1:7" x14ac:dyDescent="0.25">
      <c r="A1126" s="788" t="s">
        <v>21</v>
      </c>
      <c r="B1126" s="789"/>
      <c r="C1126" s="789"/>
      <c r="D1126" s="789"/>
      <c r="E1126" s="789"/>
      <c r="F1126" s="789"/>
      <c r="G1126" s="511">
        <f>SUM(G1124:G1125)</f>
        <v>28</v>
      </c>
    </row>
    <row r="1127" spans="1:7" x14ac:dyDescent="0.25">
      <c r="A1127" s="780"/>
      <c r="B1127" s="781"/>
      <c r="C1127" s="781"/>
      <c r="D1127" s="781"/>
      <c r="E1127" s="781"/>
      <c r="F1127" s="781"/>
      <c r="G1127" s="782"/>
    </row>
    <row r="1128" spans="1:7" x14ac:dyDescent="0.25">
      <c r="A1128" s="507" t="s">
        <v>785</v>
      </c>
      <c r="B1128" s="485" t="s">
        <v>786</v>
      </c>
      <c r="C1128" s="489" t="s">
        <v>801</v>
      </c>
      <c r="D1128" s="490" t="s">
        <v>788</v>
      </c>
      <c r="E1128" s="496" t="s">
        <v>789</v>
      </c>
      <c r="F1128" s="492" t="s">
        <v>790</v>
      </c>
      <c r="G1128" s="509" t="s">
        <v>791</v>
      </c>
    </row>
    <row r="1129" spans="1:7" x14ac:dyDescent="0.25">
      <c r="A1129" s="515" t="s">
        <v>815</v>
      </c>
      <c r="B1129" s="546" t="s">
        <v>808</v>
      </c>
      <c r="C1129" s="501" t="str">
        <f>B1133</f>
        <v>CABO COBRE ISOLADO XLPE 0,6/1KV - 95 MM</v>
      </c>
      <c r="D1129" s="539" t="s">
        <v>62</v>
      </c>
      <c r="E1129" s="498">
        <v>1</v>
      </c>
      <c r="F1129" s="540">
        <f>D1138</f>
        <v>92.39</v>
      </c>
      <c r="G1129" s="514">
        <f>TRUNC(F1129*E1129,2)</f>
        <v>92.39</v>
      </c>
    </row>
    <row r="1130" spans="1:7" x14ac:dyDescent="0.25">
      <c r="A1130" s="788" t="s">
        <v>21</v>
      </c>
      <c r="B1130" s="789"/>
      <c r="C1130" s="789"/>
      <c r="D1130" s="789"/>
      <c r="E1130" s="789"/>
      <c r="F1130" s="789"/>
      <c r="G1130" s="511">
        <f>SUM(G1129:G1129)</f>
        <v>92.39</v>
      </c>
    </row>
    <row r="1131" spans="1:7" x14ac:dyDescent="0.25">
      <c r="A1131" s="797" t="s">
        <v>796</v>
      </c>
      <c r="B1131" s="786"/>
      <c r="C1131" s="786"/>
      <c r="D1131" s="786"/>
      <c r="E1131" s="786"/>
      <c r="F1131" s="786"/>
      <c r="G1131" s="512">
        <f>G1126+G1130</f>
        <v>120.39</v>
      </c>
    </row>
    <row r="1132" spans="1:7" x14ac:dyDescent="0.25">
      <c r="A1132" s="780"/>
      <c r="B1132" s="781"/>
      <c r="C1132" s="781"/>
      <c r="D1132" s="781"/>
      <c r="E1132" s="781"/>
      <c r="F1132" s="781"/>
      <c r="G1132" s="782"/>
    </row>
    <row r="1133" spans="1:7" ht="15" customHeight="1" x14ac:dyDescent="0.25">
      <c r="A1133" s="544" t="s">
        <v>809</v>
      </c>
      <c r="B1133" s="802" t="s">
        <v>1259</v>
      </c>
      <c r="C1133" s="802"/>
      <c r="D1133" s="802"/>
      <c r="E1133" s="802"/>
      <c r="F1133" s="802"/>
      <c r="G1133" s="809"/>
    </row>
    <row r="1134" spans="1:7" ht="15" customHeight="1" x14ac:dyDescent="0.25">
      <c r="A1134" s="545"/>
      <c r="B1134" s="728" t="s">
        <v>1247</v>
      </c>
      <c r="C1134" s="728"/>
      <c r="D1134" s="784" t="s">
        <v>810</v>
      </c>
      <c r="E1134" s="784"/>
      <c r="F1134" s="541" t="s">
        <v>811</v>
      </c>
      <c r="G1134" s="516" t="s">
        <v>1183</v>
      </c>
    </row>
    <row r="1135" spans="1:7" ht="15" customHeight="1" x14ac:dyDescent="0.25">
      <c r="A1135" s="517">
        <v>44771</v>
      </c>
      <c r="B1135" s="775" t="s">
        <v>1358</v>
      </c>
      <c r="C1135" s="775"/>
      <c r="D1135" s="776">
        <v>85.41</v>
      </c>
      <c r="E1135" s="776"/>
      <c r="F1135" s="542" t="s">
        <v>1212</v>
      </c>
      <c r="G1135" s="518" t="s">
        <v>1359</v>
      </c>
    </row>
    <row r="1136" spans="1:7" x14ac:dyDescent="0.25">
      <c r="A1136" s="519">
        <v>44741</v>
      </c>
      <c r="B1136" s="785" t="s">
        <v>1362</v>
      </c>
      <c r="C1136" s="785"/>
      <c r="D1136" s="783">
        <v>92.39</v>
      </c>
      <c r="E1136" s="783"/>
      <c r="F1136" s="539" t="s">
        <v>1182</v>
      </c>
      <c r="G1136" s="520" t="s">
        <v>1363</v>
      </c>
    </row>
    <row r="1137" spans="1:7" ht="15" customHeight="1" x14ac:dyDescent="0.25">
      <c r="A1137" s="517">
        <v>44771</v>
      </c>
      <c r="B1137" s="775" t="s">
        <v>1249</v>
      </c>
      <c r="C1137" s="775"/>
      <c r="D1137" s="776">
        <v>93.87</v>
      </c>
      <c r="E1137" s="776"/>
      <c r="F1137" s="542" t="s">
        <v>1209</v>
      </c>
      <c r="G1137" s="518"/>
    </row>
    <row r="1138" spans="1:7" x14ac:dyDescent="0.25">
      <c r="A1138" s="787" t="s">
        <v>812</v>
      </c>
      <c r="B1138" s="777"/>
      <c r="C1138" s="777"/>
      <c r="D1138" s="800">
        <f>MEDIAN(D1135:E1137)</f>
        <v>92.39</v>
      </c>
      <c r="E1138" s="800"/>
      <c r="F1138" s="800"/>
      <c r="G1138" s="801"/>
    </row>
    <row r="1139" spans="1:7" x14ac:dyDescent="0.25">
      <c r="A1139" s="780"/>
      <c r="B1139" s="781"/>
      <c r="C1139" s="781"/>
      <c r="D1139" s="781"/>
      <c r="E1139" s="781"/>
      <c r="F1139" s="781"/>
      <c r="G1139" s="782"/>
    </row>
    <row r="1140" spans="1:7" x14ac:dyDescent="0.25">
      <c r="A1140" s="772" t="s">
        <v>1654</v>
      </c>
      <c r="B1140" s="773"/>
      <c r="C1140" s="773"/>
      <c r="D1140" s="773"/>
      <c r="E1140" s="773"/>
      <c r="F1140" s="773"/>
      <c r="G1140" s="774"/>
    </row>
    <row r="1141" spans="1:7" x14ac:dyDescent="0.25">
      <c r="A1141" s="772"/>
      <c r="B1141" s="773"/>
      <c r="C1141" s="773"/>
      <c r="D1141" s="773"/>
      <c r="E1141" s="773"/>
      <c r="F1141" s="773"/>
      <c r="G1141" s="774"/>
    </row>
    <row r="1142" spans="1:7" x14ac:dyDescent="0.25">
      <c r="A1142" s="780"/>
      <c r="B1142" s="781"/>
      <c r="C1142" s="781"/>
      <c r="D1142" s="781"/>
      <c r="E1142" s="781"/>
      <c r="F1142" s="781"/>
      <c r="G1142" s="782"/>
    </row>
    <row r="1143" spans="1:7" x14ac:dyDescent="0.25">
      <c r="A1143" s="790" t="s">
        <v>1487</v>
      </c>
      <c r="B1143" s="791"/>
      <c r="C1143" s="798" t="str">
        <f>B1155</f>
        <v>CABO COBRE ISOLADO XLPE 0,6/1KV - 185 MM</v>
      </c>
      <c r="D1143" s="798"/>
      <c r="E1143" s="798"/>
      <c r="F1143" s="798"/>
      <c r="G1143" s="799"/>
    </row>
    <row r="1144" spans="1:7" x14ac:dyDescent="0.25">
      <c r="A1144" s="780"/>
      <c r="B1144" s="781"/>
      <c r="C1144" s="781"/>
      <c r="D1144" s="781"/>
      <c r="E1144" s="781"/>
      <c r="F1144" s="781"/>
      <c r="G1144" s="782"/>
    </row>
    <row r="1145" spans="1:7" x14ac:dyDescent="0.25">
      <c r="A1145" s="507" t="s">
        <v>785</v>
      </c>
      <c r="B1145" s="485" t="s">
        <v>786</v>
      </c>
      <c r="C1145" s="489" t="s">
        <v>787</v>
      </c>
      <c r="D1145" s="490" t="s">
        <v>788</v>
      </c>
      <c r="E1145" s="491" t="s">
        <v>789</v>
      </c>
      <c r="F1145" s="492" t="s">
        <v>790</v>
      </c>
      <c r="G1145" s="509" t="s">
        <v>791</v>
      </c>
    </row>
    <row r="1146" spans="1:7" x14ac:dyDescent="0.25">
      <c r="A1146" s="545">
        <v>88247</v>
      </c>
      <c r="B1146" s="546" t="s">
        <v>792</v>
      </c>
      <c r="C1146" s="499" t="s">
        <v>806</v>
      </c>
      <c r="D1146" s="542" t="s">
        <v>799</v>
      </c>
      <c r="E1146" s="495">
        <v>0.66</v>
      </c>
      <c r="F1146" s="543">
        <v>19.2</v>
      </c>
      <c r="G1146" s="514">
        <f>TRUNC(F1146*E1146,2)</f>
        <v>12.67</v>
      </c>
    </row>
    <row r="1147" spans="1:7" x14ac:dyDescent="0.25">
      <c r="A1147" s="545">
        <v>88264</v>
      </c>
      <c r="B1147" s="546" t="s">
        <v>792</v>
      </c>
      <c r="C1147" s="499" t="s">
        <v>807</v>
      </c>
      <c r="D1147" s="542" t="s">
        <v>799</v>
      </c>
      <c r="E1147" s="495">
        <v>0.66</v>
      </c>
      <c r="F1147" s="543">
        <v>23.24</v>
      </c>
      <c r="G1147" s="514">
        <f>TRUNC(F1147*E1147,2)</f>
        <v>15.33</v>
      </c>
    </row>
    <row r="1148" spans="1:7" x14ac:dyDescent="0.25">
      <c r="A1148" s="788" t="s">
        <v>21</v>
      </c>
      <c r="B1148" s="789"/>
      <c r="C1148" s="789"/>
      <c r="D1148" s="789"/>
      <c r="E1148" s="789"/>
      <c r="F1148" s="789"/>
      <c r="G1148" s="511">
        <f>SUM(G1146:G1147)</f>
        <v>28</v>
      </c>
    </row>
    <row r="1149" spans="1:7" x14ac:dyDescent="0.25">
      <c r="A1149" s="780"/>
      <c r="B1149" s="781"/>
      <c r="C1149" s="781"/>
      <c r="D1149" s="781"/>
      <c r="E1149" s="781"/>
      <c r="F1149" s="781"/>
      <c r="G1149" s="782"/>
    </row>
    <row r="1150" spans="1:7" x14ac:dyDescent="0.25">
      <c r="A1150" s="507" t="s">
        <v>785</v>
      </c>
      <c r="B1150" s="485" t="s">
        <v>786</v>
      </c>
      <c r="C1150" s="489" t="s">
        <v>801</v>
      </c>
      <c r="D1150" s="490" t="s">
        <v>788</v>
      </c>
      <c r="E1150" s="496" t="s">
        <v>789</v>
      </c>
      <c r="F1150" s="492" t="s">
        <v>790</v>
      </c>
      <c r="G1150" s="509" t="s">
        <v>791</v>
      </c>
    </row>
    <row r="1151" spans="1:7" x14ac:dyDescent="0.25">
      <c r="A1151" s="515" t="s">
        <v>815</v>
      </c>
      <c r="B1151" s="546" t="s">
        <v>808</v>
      </c>
      <c r="C1151" s="501" t="str">
        <f>B1155</f>
        <v>CABO COBRE ISOLADO XLPE 0,6/1KV - 185 MM</v>
      </c>
      <c r="D1151" s="539" t="s">
        <v>62</v>
      </c>
      <c r="E1151" s="498">
        <v>1</v>
      </c>
      <c r="F1151" s="540">
        <f>D1159</f>
        <v>159.63499999999999</v>
      </c>
      <c r="G1151" s="514">
        <f>TRUNC(F1151*E1151,2)</f>
        <v>159.63</v>
      </c>
    </row>
    <row r="1152" spans="1:7" x14ac:dyDescent="0.25">
      <c r="A1152" s="788" t="s">
        <v>21</v>
      </c>
      <c r="B1152" s="789"/>
      <c r="C1152" s="789"/>
      <c r="D1152" s="789"/>
      <c r="E1152" s="789"/>
      <c r="F1152" s="789"/>
      <c r="G1152" s="511">
        <f>SUM(G1151:G1151)</f>
        <v>159.63</v>
      </c>
    </row>
    <row r="1153" spans="1:7" x14ac:dyDescent="0.25">
      <c r="A1153" s="797" t="s">
        <v>796</v>
      </c>
      <c r="B1153" s="786"/>
      <c r="C1153" s="786"/>
      <c r="D1153" s="786"/>
      <c r="E1153" s="786"/>
      <c r="F1153" s="786"/>
      <c r="G1153" s="512">
        <f>G1148+G1152</f>
        <v>187.63</v>
      </c>
    </row>
    <row r="1154" spans="1:7" x14ac:dyDescent="0.25">
      <c r="A1154" s="780"/>
      <c r="B1154" s="781"/>
      <c r="C1154" s="781"/>
      <c r="D1154" s="781"/>
      <c r="E1154" s="781"/>
      <c r="F1154" s="781"/>
      <c r="G1154" s="782"/>
    </row>
    <row r="1155" spans="1:7" ht="15" customHeight="1" x14ac:dyDescent="0.25">
      <c r="A1155" s="544" t="s">
        <v>809</v>
      </c>
      <c r="B1155" s="802" t="s">
        <v>1275</v>
      </c>
      <c r="C1155" s="802"/>
      <c r="D1155" s="802"/>
      <c r="E1155" s="802"/>
      <c r="F1155" s="802"/>
      <c r="G1155" s="809"/>
    </row>
    <row r="1156" spans="1:7" x14ac:dyDescent="0.25">
      <c r="A1156" s="545"/>
      <c r="B1156" s="728" t="s">
        <v>1247</v>
      </c>
      <c r="C1156" s="728"/>
      <c r="D1156" s="784" t="s">
        <v>810</v>
      </c>
      <c r="E1156" s="784"/>
      <c r="F1156" s="541" t="s">
        <v>811</v>
      </c>
      <c r="G1156" s="516" t="s">
        <v>1183</v>
      </c>
    </row>
    <row r="1157" spans="1:7" x14ac:dyDescent="0.25">
      <c r="A1157" s="517">
        <v>44770</v>
      </c>
      <c r="B1157" s="775" t="s">
        <v>1246</v>
      </c>
      <c r="C1157" s="775"/>
      <c r="D1157" s="776">
        <v>142.69999999999999</v>
      </c>
      <c r="E1157" s="776"/>
      <c r="F1157" s="542" t="s">
        <v>1208</v>
      </c>
      <c r="G1157" s="518"/>
    </row>
    <row r="1158" spans="1:7" x14ac:dyDescent="0.25">
      <c r="A1158" s="517">
        <v>44770</v>
      </c>
      <c r="B1158" s="775" t="s">
        <v>1249</v>
      </c>
      <c r="C1158" s="775"/>
      <c r="D1158" s="776">
        <v>176.57</v>
      </c>
      <c r="E1158" s="776"/>
      <c r="F1158" s="542" t="s">
        <v>1209</v>
      </c>
      <c r="G1158" s="518"/>
    </row>
    <row r="1159" spans="1:7" x14ac:dyDescent="0.25">
      <c r="A1159" s="787" t="s">
        <v>812</v>
      </c>
      <c r="B1159" s="777"/>
      <c r="C1159" s="777"/>
      <c r="D1159" s="800">
        <f>MEDIAN(D1157:E1158)</f>
        <v>159.63499999999999</v>
      </c>
      <c r="E1159" s="800"/>
      <c r="F1159" s="800"/>
      <c r="G1159" s="801"/>
    </row>
    <row r="1160" spans="1:7" x14ac:dyDescent="0.25">
      <c r="A1160" s="780"/>
      <c r="B1160" s="781"/>
      <c r="C1160" s="781"/>
      <c r="D1160" s="781"/>
      <c r="E1160" s="781"/>
      <c r="F1160" s="781"/>
      <c r="G1160" s="782"/>
    </row>
    <row r="1161" spans="1:7" x14ac:dyDescent="0.25">
      <c r="A1161" s="772" t="s">
        <v>1659</v>
      </c>
      <c r="B1161" s="773"/>
      <c r="C1161" s="773"/>
      <c r="D1161" s="773"/>
      <c r="E1161" s="773"/>
      <c r="F1161" s="773"/>
      <c r="G1161" s="774"/>
    </row>
    <row r="1162" spans="1:7" x14ac:dyDescent="0.25">
      <c r="A1162" s="772"/>
      <c r="B1162" s="773"/>
      <c r="C1162" s="773"/>
      <c r="D1162" s="773"/>
      <c r="E1162" s="773"/>
      <c r="F1162" s="773"/>
      <c r="G1162" s="774"/>
    </row>
    <row r="1163" spans="1:7" x14ac:dyDescent="0.25">
      <c r="A1163" s="724" t="s">
        <v>1371</v>
      </c>
      <c r="B1163" s="725"/>
      <c r="C1163" s="725"/>
      <c r="D1163" s="725"/>
      <c r="E1163" s="725"/>
      <c r="F1163" s="725"/>
      <c r="G1163" s="726"/>
    </row>
    <row r="1164" spans="1:7" x14ac:dyDescent="0.25">
      <c r="A1164" s="780"/>
      <c r="B1164" s="781"/>
      <c r="C1164" s="781"/>
      <c r="D1164" s="781"/>
      <c r="E1164" s="781"/>
      <c r="F1164" s="781"/>
      <c r="G1164" s="782"/>
    </row>
    <row r="1165" spans="1:7" x14ac:dyDescent="0.25">
      <c r="A1165" s="790" t="s">
        <v>1489</v>
      </c>
      <c r="B1165" s="791"/>
      <c r="C1165" s="826" t="s">
        <v>1276</v>
      </c>
      <c r="D1165" s="826"/>
      <c r="E1165" s="826"/>
      <c r="F1165" s="826"/>
      <c r="G1165" s="827"/>
    </row>
    <row r="1166" spans="1:7" x14ac:dyDescent="0.25">
      <c r="A1166" s="780"/>
      <c r="B1166" s="781"/>
      <c r="C1166" s="781"/>
      <c r="D1166" s="781"/>
      <c r="E1166" s="781"/>
      <c r="F1166" s="781"/>
      <c r="G1166" s="782"/>
    </row>
    <row r="1167" spans="1:7" x14ac:dyDescent="0.25">
      <c r="A1167" s="507" t="s">
        <v>785</v>
      </c>
      <c r="B1167" s="485" t="s">
        <v>786</v>
      </c>
      <c r="C1167" s="489" t="s">
        <v>787</v>
      </c>
      <c r="D1167" s="490" t="s">
        <v>788</v>
      </c>
      <c r="E1167" s="491" t="s">
        <v>789</v>
      </c>
      <c r="F1167" s="492" t="s">
        <v>790</v>
      </c>
      <c r="G1167" s="509" t="s">
        <v>791</v>
      </c>
    </row>
    <row r="1168" spans="1:7" x14ac:dyDescent="0.25">
      <c r="A1168" s="545">
        <v>88247</v>
      </c>
      <c r="B1168" s="546" t="s">
        <v>792</v>
      </c>
      <c r="C1168" s="499" t="s">
        <v>806</v>
      </c>
      <c r="D1168" s="542" t="s">
        <v>799</v>
      </c>
      <c r="E1168" s="495">
        <v>9.1</v>
      </c>
      <c r="F1168" s="543">
        <v>19.2</v>
      </c>
      <c r="G1168" s="514">
        <f>TRUNC(F1168*E1168,2)</f>
        <v>174.72</v>
      </c>
    </row>
    <row r="1169" spans="1:7" x14ac:dyDescent="0.25">
      <c r="A1169" s="545">
        <v>88264</v>
      </c>
      <c r="B1169" s="546" t="s">
        <v>792</v>
      </c>
      <c r="C1169" s="499" t="s">
        <v>807</v>
      </c>
      <c r="D1169" s="542" t="s">
        <v>799</v>
      </c>
      <c r="E1169" s="495">
        <v>9.1</v>
      </c>
      <c r="F1169" s="543">
        <v>23.24</v>
      </c>
      <c r="G1169" s="514">
        <f>TRUNC(F1169*E1169,2)</f>
        <v>211.48</v>
      </c>
    </row>
    <row r="1170" spans="1:7" x14ac:dyDescent="0.25">
      <c r="A1170" s="545">
        <v>88286</v>
      </c>
      <c r="B1170" s="546" t="s">
        <v>792</v>
      </c>
      <c r="C1170" s="499" t="s">
        <v>813</v>
      </c>
      <c r="D1170" s="542" t="s">
        <v>799</v>
      </c>
      <c r="E1170" s="495">
        <v>0.53320000000000001</v>
      </c>
      <c r="F1170" s="503">
        <v>20.63</v>
      </c>
      <c r="G1170" s="522">
        <f>TRUNC(E1170*F1170,2)</f>
        <v>10.99</v>
      </c>
    </row>
    <row r="1171" spans="1:7" x14ac:dyDescent="0.25">
      <c r="A1171" s="788" t="s">
        <v>21</v>
      </c>
      <c r="B1171" s="789"/>
      <c r="C1171" s="789"/>
      <c r="D1171" s="789"/>
      <c r="E1171" s="789"/>
      <c r="F1171" s="789"/>
      <c r="G1171" s="511">
        <f>SUM(G1168:G1170)</f>
        <v>397.19</v>
      </c>
    </row>
    <row r="1172" spans="1:7" x14ac:dyDescent="0.25">
      <c r="A1172" s="780"/>
      <c r="B1172" s="781"/>
      <c r="C1172" s="781"/>
      <c r="D1172" s="781"/>
      <c r="E1172" s="781"/>
      <c r="F1172" s="781"/>
      <c r="G1172" s="782"/>
    </row>
    <row r="1173" spans="1:7" x14ac:dyDescent="0.25">
      <c r="A1173" s="507" t="s">
        <v>785</v>
      </c>
      <c r="B1173" s="485" t="s">
        <v>786</v>
      </c>
      <c r="C1173" s="489" t="s">
        <v>816</v>
      </c>
      <c r="D1173" s="490" t="s">
        <v>788</v>
      </c>
      <c r="E1173" s="491" t="s">
        <v>789</v>
      </c>
      <c r="F1173" s="492" t="s">
        <v>790</v>
      </c>
      <c r="G1173" s="509" t="s">
        <v>791</v>
      </c>
    </row>
    <row r="1174" spans="1:7" ht="45" x14ac:dyDescent="0.25">
      <c r="A1174" s="545">
        <v>5928</v>
      </c>
      <c r="B1174" s="546" t="s">
        <v>792</v>
      </c>
      <c r="C1174" s="499" t="s">
        <v>814</v>
      </c>
      <c r="D1174" s="542" t="s">
        <v>799</v>
      </c>
      <c r="E1174" s="495">
        <v>0.25331999999999999</v>
      </c>
      <c r="F1174" s="543">
        <v>295.87</v>
      </c>
      <c r="G1174" s="514">
        <f>TRUNC(F1174*E1174,2)</f>
        <v>74.94</v>
      </c>
    </row>
    <row r="1175" spans="1:7" x14ac:dyDescent="0.25">
      <c r="A1175" s="788" t="s">
        <v>21</v>
      </c>
      <c r="B1175" s="789"/>
      <c r="C1175" s="789"/>
      <c r="D1175" s="789"/>
      <c r="E1175" s="789"/>
      <c r="F1175" s="789"/>
      <c r="G1175" s="511">
        <f>SUM(G1174:G1174)</f>
        <v>74.94</v>
      </c>
    </row>
    <row r="1176" spans="1:7" x14ac:dyDescent="0.25">
      <c r="A1176" s="780"/>
      <c r="B1176" s="781"/>
      <c r="C1176" s="781"/>
      <c r="D1176" s="781"/>
      <c r="E1176" s="781"/>
      <c r="F1176" s="781"/>
      <c r="G1176" s="782"/>
    </row>
    <row r="1177" spans="1:7" x14ac:dyDescent="0.25">
      <c r="A1177" s="507" t="s">
        <v>785</v>
      </c>
      <c r="B1177" s="485" t="s">
        <v>786</v>
      </c>
      <c r="C1177" s="489" t="s">
        <v>801</v>
      </c>
      <c r="D1177" s="490" t="s">
        <v>788</v>
      </c>
      <c r="E1177" s="496" t="s">
        <v>789</v>
      </c>
      <c r="F1177" s="492" t="s">
        <v>790</v>
      </c>
      <c r="G1177" s="509" t="s">
        <v>791</v>
      </c>
    </row>
    <row r="1178" spans="1:7" ht="45" x14ac:dyDescent="0.25">
      <c r="A1178" s="515">
        <v>7619</v>
      </c>
      <c r="B1178" s="546" t="s">
        <v>817</v>
      </c>
      <c r="C1178" s="501" t="s">
        <v>1277</v>
      </c>
      <c r="D1178" s="539" t="s">
        <v>275</v>
      </c>
      <c r="E1178" s="498">
        <v>1</v>
      </c>
      <c r="F1178" s="540">
        <v>29815.7</v>
      </c>
      <c r="G1178" s="514">
        <f>TRUNC(F1178*E1178,2)</f>
        <v>29815.7</v>
      </c>
    </row>
    <row r="1179" spans="1:7" x14ac:dyDescent="0.25">
      <c r="A1179" s="788" t="s">
        <v>21</v>
      </c>
      <c r="B1179" s="789"/>
      <c r="C1179" s="789"/>
      <c r="D1179" s="789"/>
      <c r="E1179" s="789"/>
      <c r="F1179" s="789"/>
      <c r="G1179" s="511">
        <f>SUM(G1178:G1178)</f>
        <v>29815.7</v>
      </c>
    </row>
    <row r="1180" spans="1:7" x14ac:dyDescent="0.25">
      <c r="A1180" s="797" t="s">
        <v>796</v>
      </c>
      <c r="B1180" s="786"/>
      <c r="C1180" s="786"/>
      <c r="D1180" s="786"/>
      <c r="E1180" s="786"/>
      <c r="F1180" s="786"/>
      <c r="G1180" s="512">
        <f>G1171+G1175+G1179</f>
        <v>30287.83</v>
      </c>
    </row>
    <row r="1181" spans="1:7" x14ac:dyDescent="0.25">
      <c r="A1181" s="780"/>
      <c r="B1181" s="781"/>
      <c r="C1181" s="781"/>
      <c r="D1181" s="781"/>
      <c r="E1181" s="781"/>
      <c r="F1181" s="781"/>
      <c r="G1181" s="782"/>
    </row>
    <row r="1182" spans="1:7" x14ac:dyDescent="0.25">
      <c r="A1182" s="772" t="s">
        <v>1366</v>
      </c>
      <c r="B1182" s="773"/>
      <c r="C1182" s="773"/>
      <c r="D1182" s="773"/>
      <c r="E1182" s="773"/>
      <c r="F1182" s="773"/>
      <c r="G1182" s="774"/>
    </row>
    <row r="1183" spans="1:7" x14ac:dyDescent="0.25">
      <c r="A1183" s="772"/>
      <c r="B1183" s="773"/>
      <c r="C1183" s="773"/>
      <c r="D1183" s="773"/>
      <c r="E1183" s="773"/>
      <c r="F1183" s="773"/>
      <c r="G1183" s="774"/>
    </row>
    <row r="1184" spans="1:7" x14ac:dyDescent="0.25">
      <c r="A1184" s="780"/>
      <c r="B1184" s="781"/>
      <c r="C1184" s="781"/>
      <c r="D1184" s="781"/>
      <c r="E1184" s="781"/>
      <c r="F1184" s="781"/>
      <c r="G1184" s="782"/>
    </row>
    <row r="1185" spans="1:7" x14ac:dyDescent="0.25">
      <c r="A1185" s="790" t="s">
        <v>1490</v>
      </c>
      <c r="B1185" s="791"/>
      <c r="C1185" s="798" t="s">
        <v>1278</v>
      </c>
      <c r="D1185" s="798"/>
      <c r="E1185" s="798"/>
      <c r="F1185" s="798"/>
      <c r="G1185" s="799"/>
    </row>
    <row r="1186" spans="1:7" x14ac:dyDescent="0.25">
      <c r="A1186" s="780"/>
      <c r="B1186" s="781"/>
      <c r="C1186" s="781"/>
      <c r="D1186" s="781"/>
      <c r="E1186" s="781"/>
      <c r="F1186" s="781"/>
      <c r="G1186" s="782"/>
    </row>
    <row r="1187" spans="1:7" x14ac:dyDescent="0.25">
      <c r="A1187" s="507" t="s">
        <v>785</v>
      </c>
      <c r="B1187" s="485" t="s">
        <v>786</v>
      </c>
      <c r="C1187" s="489" t="s">
        <v>787</v>
      </c>
      <c r="D1187" s="490" t="s">
        <v>788</v>
      </c>
      <c r="E1187" s="491" t="s">
        <v>789</v>
      </c>
      <c r="F1187" s="492" t="s">
        <v>790</v>
      </c>
      <c r="G1187" s="509" t="s">
        <v>791</v>
      </c>
    </row>
    <row r="1188" spans="1:7" x14ac:dyDescent="0.25">
      <c r="A1188" s="545">
        <v>88247</v>
      </c>
      <c r="B1188" s="546" t="s">
        <v>792</v>
      </c>
      <c r="C1188" s="499" t="s">
        <v>806</v>
      </c>
      <c r="D1188" s="542" t="s">
        <v>799</v>
      </c>
      <c r="E1188" s="495">
        <v>9.9849999999999994</v>
      </c>
      <c r="F1188" s="543">
        <v>19.2</v>
      </c>
      <c r="G1188" s="514">
        <f>TRUNC(F1188*E1188,2)</f>
        <v>191.71</v>
      </c>
    </row>
    <row r="1189" spans="1:7" x14ac:dyDescent="0.25">
      <c r="A1189" s="545">
        <v>88264</v>
      </c>
      <c r="B1189" s="546" t="s">
        <v>792</v>
      </c>
      <c r="C1189" s="499" t="s">
        <v>807</v>
      </c>
      <c r="D1189" s="542" t="s">
        <v>799</v>
      </c>
      <c r="E1189" s="495">
        <v>9.9849999999999994</v>
      </c>
      <c r="F1189" s="543">
        <v>23.24</v>
      </c>
      <c r="G1189" s="514">
        <f>TRUNC(F1189*E1189,2)</f>
        <v>232.05</v>
      </c>
    </row>
    <row r="1190" spans="1:7" x14ac:dyDescent="0.25">
      <c r="A1190" s="545">
        <v>88286</v>
      </c>
      <c r="B1190" s="546" t="s">
        <v>792</v>
      </c>
      <c r="C1190" s="499" t="s">
        <v>813</v>
      </c>
      <c r="D1190" s="542" t="s">
        <v>799</v>
      </c>
      <c r="E1190" s="495">
        <v>0.35958000000000001</v>
      </c>
      <c r="F1190" s="503">
        <v>20.63</v>
      </c>
      <c r="G1190" s="522">
        <f>TRUNC(E1190*F1190,2)</f>
        <v>7.41</v>
      </c>
    </row>
    <row r="1191" spans="1:7" x14ac:dyDescent="0.25">
      <c r="A1191" s="788" t="s">
        <v>21</v>
      </c>
      <c r="B1191" s="789"/>
      <c r="C1191" s="789"/>
      <c r="D1191" s="789"/>
      <c r="E1191" s="789"/>
      <c r="F1191" s="789"/>
      <c r="G1191" s="511">
        <f>SUM(G1188:G1190)</f>
        <v>431.17</v>
      </c>
    </row>
    <row r="1192" spans="1:7" x14ac:dyDescent="0.25">
      <c r="A1192" s="780"/>
      <c r="B1192" s="781"/>
      <c r="C1192" s="781"/>
      <c r="D1192" s="781"/>
      <c r="E1192" s="781"/>
      <c r="F1192" s="781"/>
      <c r="G1192" s="782"/>
    </row>
    <row r="1193" spans="1:7" x14ac:dyDescent="0.25">
      <c r="A1193" s="507" t="s">
        <v>785</v>
      </c>
      <c r="B1193" s="485" t="s">
        <v>786</v>
      </c>
      <c r="C1193" s="489" t="s">
        <v>816</v>
      </c>
      <c r="D1193" s="490" t="s">
        <v>788</v>
      </c>
      <c r="E1193" s="491" t="s">
        <v>789</v>
      </c>
      <c r="F1193" s="492" t="s">
        <v>790</v>
      </c>
      <c r="G1193" s="509" t="s">
        <v>791</v>
      </c>
    </row>
    <row r="1194" spans="1:7" ht="45" x14ac:dyDescent="0.25">
      <c r="A1194" s="545">
        <v>5928</v>
      </c>
      <c r="B1194" s="546" t="s">
        <v>792</v>
      </c>
      <c r="C1194" s="499" t="s">
        <v>814</v>
      </c>
      <c r="D1194" s="542" t="s">
        <v>799</v>
      </c>
      <c r="E1194" s="495">
        <v>0.35958000000000001</v>
      </c>
      <c r="F1194" s="543">
        <v>295.87</v>
      </c>
      <c r="G1194" s="514">
        <f>TRUNC(F1194*E1194,2)</f>
        <v>106.38</v>
      </c>
    </row>
    <row r="1195" spans="1:7" x14ac:dyDescent="0.25">
      <c r="A1195" s="788" t="s">
        <v>21</v>
      </c>
      <c r="B1195" s="789"/>
      <c r="C1195" s="789"/>
      <c r="D1195" s="789"/>
      <c r="E1195" s="789"/>
      <c r="F1195" s="789"/>
      <c r="G1195" s="511">
        <f>SUM(G1194:G1194)</f>
        <v>106.38</v>
      </c>
    </row>
    <row r="1196" spans="1:7" x14ac:dyDescent="0.25">
      <c r="A1196" s="780"/>
      <c r="B1196" s="781"/>
      <c r="C1196" s="781"/>
      <c r="D1196" s="781"/>
      <c r="E1196" s="781"/>
      <c r="F1196" s="781"/>
      <c r="G1196" s="782"/>
    </row>
    <row r="1197" spans="1:7" x14ac:dyDescent="0.25">
      <c r="A1197" s="507" t="s">
        <v>785</v>
      </c>
      <c r="B1197" s="485" t="s">
        <v>786</v>
      </c>
      <c r="C1197" s="489" t="s">
        <v>801</v>
      </c>
      <c r="D1197" s="490" t="s">
        <v>788</v>
      </c>
      <c r="E1197" s="496" t="s">
        <v>789</v>
      </c>
      <c r="F1197" s="492" t="s">
        <v>790</v>
      </c>
      <c r="G1197" s="509" t="s">
        <v>791</v>
      </c>
    </row>
    <row r="1198" spans="1:7" ht="45" x14ac:dyDescent="0.25">
      <c r="A1198" s="515">
        <v>7620</v>
      </c>
      <c r="B1198" s="546" t="s">
        <v>817</v>
      </c>
      <c r="C1198" s="501" t="s">
        <v>1277</v>
      </c>
      <c r="D1198" s="539" t="s">
        <v>275</v>
      </c>
      <c r="E1198" s="498">
        <v>1</v>
      </c>
      <c r="F1198" s="540">
        <v>52753.86</v>
      </c>
      <c r="G1198" s="514">
        <f>TRUNC(F1198*E1198,2)</f>
        <v>52753.86</v>
      </c>
    </row>
    <row r="1199" spans="1:7" x14ac:dyDescent="0.25">
      <c r="A1199" s="788" t="s">
        <v>21</v>
      </c>
      <c r="B1199" s="789"/>
      <c r="C1199" s="789"/>
      <c r="D1199" s="789"/>
      <c r="E1199" s="789"/>
      <c r="F1199" s="789"/>
      <c r="G1199" s="511">
        <f>SUM(G1198:G1198)</f>
        <v>52753.86</v>
      </c>
    </row>
    <row r="1200" spans="1:7" x14ac:dyDescent="0.25">
      <c r="A1200" s="797" t="s">
        <v>796</v>
      </c>
      <c r="B1200" s="786"/>
      <c r="C1200" s="786"/>
      <c r="D1200" s="786"/>
      <c r="E1200" s="786"/>
      <c r="F1200" s="786"/>
      <c r="G1200" s="512">
        <f>G1191+G1195+G1199</f>
        <v>53291.41</v>
      </c>
    </row>
    <row r="1201" spans="1:7" x14ac:dyDescent="0.25">
      <c r="A1201" s="780"/>
      <c r="B1201" s="781"/>
      <c r="C1201" s="781"/>
      <c r="D1201" s="781"/>
      <c r="E1201" s="781"/>
      <c r="F1201" s="781"/>
      <c r="G1201" s="782"/>
    </row>
    <row r="1202" spans="1:7" x14ac:dyDescent="0.25">
      <c r="A1202" s="772" t="s">
        <v>1660</v>
      </c>
      <c r="B1202" s="773"/>
      <c r="C1202" s="773"/>
      <c r="D1202" s="773"/>
      <c r="E1202" s="773"/>
      <c r="F1202" s="773"/>
      <c r="G1202" s="774"/>
    </row>
    <row r="1203" spans="1:7" x14ac:dyDescent="0.25">
      <c r="A1203" s="772"/>
      <c r="B1203" s="773"/>
      <c r="C1203" s="773"/>
      <c r="D1203" s="773"/>
      <c r="E1203" s="773"/>
      <c r="F1203" s="773"/>
      <c r="G1203" s="774"/>
    </row>
    <row r="1204" spans="1:7" x14ac:dyDescent="0.25">
      <c r="A1204" s="780"/>
      <c r="B1204" s="781"/>
      <c r="C1204" s="781"/>
      <c r="D1204" s="781"/>
      <c r="E1204" s="781"/>
      <c r="F1204" s="781"/>
      <c r="G1204" s="782"/>
    </row>
    <row r="1205" spans="1:7" x14ac:dyDescent="0.25">
      <c r="A1205" s="790" t="s">
        <v>1491</v>
      </c>
      <c r="B1205" s="791"/>
      <c r="C1205" s="834" t="s">
        <v>1279</v>
      </c>
      <c r="D1205" s="834"/>
      <c r="E1205" s="834"/>
      <c r="F1205" s="834"/>
      <c r="G1205" s="835"/>
    </row>
    <row r="1206" spans="1:7" x14ac:dyDescent="0.25">
      <c r="A1206" s="780"/>
      <c r="B1206" s="781"/>
      <c r="C1206" s="781"/>
      <c r="D1206" s="781"/>
      <c r="E1206" s="781"/>
      <c r="F1206" s="781"/>
      <c r="G1206" s="782"/>
    </row>
    <row r="1207" spans="1:7" x14ac:dyDescent="0.25">
      <c r="A1207" s="507" t="s">
        <v>785</v>
      </c>
      <c r="B1207" s="485" t="s">
        <v>786</v>
      </c>
      <c r="C1207" s="489" t="s">
        <v>787</v>
      </c>
      <c r="D1207" s="490" t="s">
        <v>788</v>
      </c>
      <c r="E1207" s="491" t="s">
        <v>789</v>
      </c>
      <c r="F1207" s="492" t="s">
        <v>790</v>
      </c>
      <c r="G1207" s="509" t="s">
        <v>791</v>
      </c>
    </row>
    <row r="1208" spans="1:7" x14ac:dyDescent="0.25">
      <c r="A1208" s="545">
        <v>88264</v>
      </c>
      <c r="B1208" s="546" t="s">
        <v>792</v>
      </c>
      <c r="C1208" s="499" t="s">
        <v>807</v>
      </c>
      <c r="D1208" s="542" t="s">
        <v>799</v>
      </c>
      <c r="E1208" s="504">
        <v>0.14000000000000001</v>
      </c>
      <c r="F1208" s="543">
        <v>23.24</v>
      </c>
      <c r="G1208" s="510">
        <f>TRUNC(E1208*F1208,2)</f>
        <v>3.25</v>
      </c>
    </row>
    <row r="1209" spans="1:7" x14ac:dyDescent="0.25">
      <c r="A1209" s="788" t="s">
        <v>21</v>
      </c>
      <c r="B1209" s="789"/>
      <c r="C1209" s="789"/>
      <c r="D1209" s="789"/>
      <c r="E1209" s="789"/>
      <c r="F1209" s="789"/>
      <c r="G1209" s="511">
        <f>SUM(G1208:G1208)</f>
        <v>3.25</v>
      </c>
    </row>
    <row r="1210" spans="1:7" x14ac:dyDescent="0.25">
      <c r="A1210" s="780"/>
      <c r="B1210" s="781"/>
      <c r="C1210" s="781"/>
      <c r="D1210" s="781"/>
      <c r="E1210" s="781"/>
      <c r="F1210" s="781"/>
      <c r="G1210" s="782"/>
    </row>
    <row r="1211" spans="1:7" x14ac:dyDescent="0.25">
      <c r="A1211" s="507" t="s">
        <v>785</v>
      </c>
      <c r="B1211" s="485" t="s">
        <v>786</v>
      </c>
      <c r="C1211" s="489" t="s">
        <v>801</v>
      </c>
      <c r="D1211" s="490" t="s">
        <v>788</v>
      </c>
      <c r="E1211" s="496" t="s">
        <v>789</v>
      </c>
      <c r="F1211" s="492" t="s">
        <v>790</v>
      </c>
      <c r="G1211" s="509" t="s">
        <v>791</v>
      </c>
    </row>
    <row r="1212" spans="1:7" x14ac:dyDescent="0.25">
      <c r="A1212" s="545">
        <v>1593</v>
      </c>
      <c r="B1212" s="546" t="s">
        <v>792</v>
      </c>
      <c r="C1212" s="499" t="s">
        <v>1623</v>
      </c>
      <c r="D1212" s="539" t="s">
        <v>62</v>
      </c>
      <c r="E1212" s="498">
        <v>1</v>
      </c>
      <c r="F1212" s="540">
        <v>25.73</v>
      </c>
      <c r="G1212" s="510">
        <f>TRUNC(E1212*F1212,2)</f>
        <v>25.73</v>
      </c>
    </row>
    <row r="1213" spans="1:7" x14ac:dyDescent="0.25">
      <c r="A1213" s="788" t="s">
        <v>21</v>
      </c>
      <c r="B1213" s="789"/>
      <c r="C1213" s="789"/>
      <c r="D1213" s="789"/>
      <c r="E1213" s="789"/>
      <c r="F1213" s="789"/>
      <c r="G1213" s="511">
        <f>SUM(G1212:G1212)</f>
        <v>25.73</v>
      </c>
    </row>
    <row r="1214" spans="1:7" x14ac:dyDescent="0.25">
      <c r="A1214" s="797" t="s">
        <v>796</v>
      </c>
      <c r="B1214" s="786"/>
      <c r="C1214" s="786"/>
      <c r="D1214" s="786"/>
      <c r="E1214" s="786"/>
      <c r="F1214" s="786"/>
      <c r="G1214" s="512">
        <f>G1209+G1213</f>
        <v>28.98</v>
      </c>
    </row>
    <row r="1215" spans="1:7" x14ac:dyDescent="0.25">
      <c r="A1215" s="780"/>
      <c r="B1215" s="781"/>
      <c r="C1215" s="781"/>
      <c r="D1215" s="781"/>
      <c r="E1215" s="781"/>
      <c r="F1215" s="781"/>
      <c r="G1215" s="782"/>
    </row>
    <row r="1216" spans="1:7" x14ac:dyDescent="0.25">
      <c r="A1216" s="772" t="s">
        <v>1661</v>
      </c>
      <c r="B1216" s="773"/>
      <c r="C1216" s="773"/>
      <c r="D1216" s="773"/>
      <c r="E1216" s="773"/>
      <c r="F1216" s="773"/>
      <c r="G1216" s="774"/>
    </row>
    <row r="1217" spans="1:7" x14ac:dyDescent="0.25">
      <c r="A1217" s="772"/>
      <c r="B1217" s="773"/>
      <c r="C1217" s="773"/>
      <c r="D1217" s="773"/>
      <c r="E1217" s="773"/>
      <c r="F1217" s="773"/>
      <c r="G1217" s="774"/>
    </row>
    <row r="1218" spans="1:7" x14ac:dyDescent="0.25">
      <c r="A1218" s="780"/>
      <c r="B1218" s="781"/>
      <c r="C1218" s="781"/>
      <c r="D1218" s="781"/>
      <c r="E1218" s="781"/>
      <c r="F1218" s="781"/>
      <c r="G1218" s="782"/>
    </row>
    <row r="1219" spans="1:7" x14ac:dyDescent="0.25">
      <c r="A1219" s="790" t="s">
        <v>1492</v>
      </c>
      <c r="B1219" s="791"/>
      <c r="C1219" s="798" t="s">
        <v>1280</v>
      </c>
      <c r="D1219" s="798"/>
      <c r="E1219" s="798"/>
      <c r="F1219" s="798"/>
      <c r="G1219" s="799"/>
    </row>
    <row r="1220" spans="1:7" x14ac:dyDescent="0.25">
      <c r="A1220" s="780"/>
      <c r="B1220" s="781"/>
      <c r="C1220" s="781"/>
      <c r="D1220" s="781"/>
      <c r="E1220" s="781"/>
      <c r="F1220" s="781"/>
      <c r="G1220" s="782"/>
    </row>
    <row r="1221" spans="1:7" x14ac:dyDescent="0.25">
      <c r="A1221" s="507" t="s">
        <v>785</v>
      </c>
      <c r="B1221" s="485" t="s">
        <v>786</v>
      </c>
      <c r="C1221" s="489" t="s">
        <v>787</v>
      </c>
      <c r="D1221" s="490" t="s">
        <v>788</v>
      </c>
      <c r="E1221" s="491" t="s">
        <v>789</v>
      </c>
      <c r="F1221" s="492" t="s">
        <v>790</v>
      </c>
      <c r="G1221" s="509" t="s">
        <v>791</v>
      </c>
    </row>
    <row r="1222" spans="1:7" ht="45" x14ac:dyDescent="0.25">
      <c r="A1222" s="545">
        <v>100613</v>
      </c>
      <c r="B1222" s="546" t="s">
        <v>792</v>
      </c>
      <c r="C1222" s="499" t="s">
        <v>1283</v>
      </c>
      <c r="D1222" s="542" t="s">
        <v>62</v>
      </c>
      <c r="E1222" s="495">
        <v>1</v>
      </c>
      <c r="F1222" s="503">
        <v>1524.2</v>
      </c>
      <c r="G1222" s="522">
        <f>TRUNC(E1222*F1222,2)</f>
        <v>1524.2</v>
      </c>
    </row>
    <row r="1223" spans="1:7" x14ac:dyDescent="0.25">
      <c r="A1223" s="788" t="s">
        <v>21</v>
      </c>
      <c r="B1223" s="789"/>
      <c r="C1223" s="789"/>
      <c r="D1223" s="789"/>
      <c r="E1223" s="789"/>
      <c r="F1223" s="789"/>
      <c r="G1223" s="511">
        <f>SUM(G1222:G1222)</f>
        <v>1524.2</v>
      </c>
    </row>
    <row r="1224" spans="1:7" x14ac:dyDescent="0.25">
      <c r="A1224" s="780"/>
      <c r="B1224" s="781"/>
      <c r="C1224" s="781"/>
      <c r="D1224" s="781"/>
      <c r="E1224" s="781"/>
      <c r="F1224" s="781"/>
      <c r="G1224" s="782"/>
    </row>
    <row r="1225" spans="1:7" x14ac:dyDescent="0.25">
      <c r="A1225" s="507" t="s">
        <v>785</v>
      </c>
      <c r="B1225" s="485" t="s">
        <v>786</v>
      </c>
      <c r="C1225" s="489" t="s">
        <v>801</v>
      </c>
      <c r="D1225" s="490" t="s">
        <v>788</v>
      </c>
      <c r="E1225" s="496" t="s">
        <v>789</v>
      </c>
      <c r="F1225" s="492" t="s">
        <v>790</v>
      </c>
      <c r="G1225" s="509" t="s">
        <v>791</v>
      </c>
    </row>
    <row r="1226" spans="1:7" ht="30" x14ac:dyDescent="0.25">
      <c r="A1226" s="515">
        <v>41210</v>
      </c>
      <c r="B1226" s="497" t="s">
        <v>792</v>
      </c>
      <c r="C1226" s="501" t="s">
        <v>1624</v>
      </c>
      <c r="D1226" s="539" t="s">
        <v>62</v>
      </c>
      <c r="E1226" s="498">
        <v>1</v>
      </c>
      <c r="F1226" s="540">
        <v>3007.69</v>
      </c>
      <c r="G1226" s="514">
        <f>TRUNC(F1226*E1226,2)</f>
        <v>3007.69</v>
      </c>
    </row>
    <row r="1227" spans="1:7" x14ac:dyDescent="0.25">
      <c r="A1227" s="788" t="s">
        <v>21</v>
      </c>
      <c r="B1227" s="789"/>
      <c r="C1227" s="789"/>
      <c r="D1227" s="789"/>
      <c r="E1227" s="789"/>
      <c r="F1227" s="789"/>
      <c r="G1227" s="511">
        <f>SUM(G1226:G1226)</f>
        <v>3007.69</v>
      </c>
    </row>
    <row r="1228" spans="1:7" x14ac:dyDescent="0.25">
      <c r="A1228" s="797" t="s">
        <v>796</v>
      </c>
      <c r="B1228" s="786"/>
      <c r="C1228" s="786"/>
      <c r="D1228" s="786"/>
      <c r="E1228" s="786"/>
      <c r="F1228" s="786"/>
      <c r="G1228" s="512">
        <f>G1223+G1227</f>
        <v>4531.8900000000003</v>
      </c>
    </row>
    <row r="1229" spans="1:7" x14ac:dyDescent="0.25">
      <c r="A1229" s="794"/>
      <c r="B1229" s="795"/>
      <c r="C1229" s="795"/>
      <c r="D1229" s="795"/>
      <c r="E1229" s="795"/>
      <c r="F1229" s="795"/>
      <c r="G1229" s="796"/>
    </row>
    <row r="1230" spans="1:7" x14ac:dyDescent="0.25">
      <c r="A1230" s="803" t="s">
        <v>1662</v>
      </c>
      <c r="B1230" s="804"/>
      <c r="C1230" s="804"/>
      <c r="D1230" s="804"/>
      <c r="E1230" s="804"/>
      <c r="F1230" s="804"/>
      <c r="G1230" s="805"/>
    </row>
    <row r="1231" spans="1:7" x14ac:dyDescent="0.25">
      <c r="A1231" s="803"/>
      <c r="B1231" s="804"/>
      <c r="C1231" s="804"/>
      <c r="D1231" s="804"/>
      <c r="E1231" s="804"/>
      <c r="F1231" s="804"/>
      <c r="G1231" s="805"/>
    </row>
    <row r="1232" spans="1:7" x14ac:dyDescent="0.25">
      <c r="A1232" s="780"/>
      <c r="B1232" s="781"/>
      <c r="C1232" s="781"/>
      <c r="D1232" s="781"/>
      <c r="E1232" s="781"/>
      <c r="F1232" s="781"/>
      <c r="G1232" s="782"/>
    </row>
    <row r="1233" spans="1:7" x14ac:dyDescent="0.25">
      <c r="A1233" s="790" t="s">
        <v>1488</v>
      </c>
      <c r="B1233" s="791"/>
      <c r="C1233" s="798" t="s">
        <v>1281</v>
      </c>
      <c r="D1233" s="798"/>
      <c r="E1233" s="798"/>
      <c r="F1233" s="798"/>
      <c r="G1233" s="799"/>
    </row>
    <row r="1234" spans="1:7" x14ac:dyDescent="0.25">
      <c r="A1234" s="780"/>
      <c r="B1234" s="781"/>
      <c r="C1234" s="781"/>
      <c r="D1234" s="781"/>
      <c r="E1234" s="781"/>
      <c r="F1234" s="781"/>
      <c r="G1234" s="782"/>
    </row>
    <row r="1235" spans="1:7" x14ac:dyDescent="0.25">
      <c r="A1235" s="507" t="s">
        <v>785</v>
      </c>
      <c r="B1235" s="485" t="s">
        <v>786</v>
      </c>
      <c r="C1235" s="489" t="s">
        <v>787</v>
      </c>
      <c r="D1235" s="490" t="s">
        <v>788</v>
      </c>
      <c r="E1235" s="491" t="s">
        <v>789</v>
      </c>
      <c r="F1235" s="492" t="s">
        <v>790</v>
      </c>
      <c r="G1235" s="509" t="s">
        <v>791</v>
      </c>
    </row>
    <row r="1236" spans="1:7" ht="45" x14ac:dyDescent="0.25">
      <c r="A1236" s="545">
        <v>100613</v>
      </c>
      <c r="B1236" s="546" t="s">
        <v>792</v>
      </c>
      <c r="C1236" s="499" t="s">
        <v>1283</v>
      </c>
      <c r="D1236" s="542" t="s">
        <v>62</v>
      </c>
      <c r="E1236" s="495">
        <v>1</v>
      </c>
      <c r="F1236" s="503">
        <v>1524.2</v>
      </c>
      <c r="G1236" s="522">
        <f>TRUNC(E1236*F1236,2)</f>
        <v>1524.2</v>
      </c>
    </row>
    <row r="1237" spans="1:7" x14ac:dyDescent="0.25">
      <c r="A1237" s="788" t="s">
        <v>21</v>
      </c>
      <c r="B1237" s="789"/>
      <c r="C1237" s="789"/>
      <c r="D1237" s="789"/>
      <c r="E1237" s="789"/>
      <c r="F1237" s="789"/>
      <c r="G1237" s="511">
        <f>SUM(G1236:G1236)</f>
        <v>1524.2</v>
      </c>
    </row>
    <row r="1238" spans="1:7" x14ac:dyDescent="0.25">
      <c r="A1238" s="780"/>
      <c r="B1238" s="781"/>
      <c r="C1238" s="781"/>
      <c r="D1238" s="781"/>
      <c r="E1238" s="781"/>
      <c r="F1238" s="781"/>
      <c r="G1238" s="782"/>
    </row>
    <row r="1239" spans="1:7" x14ac:dyDescent="0.25">
      <c r="A1239" s="507" t="s">
        <v>785</v>
      </c>
      <c r="B1239" s="485" t="s">
        <v>786</v>
      </c>
      <c r="C1239" s="489" t="s">
        <v>801</v>
      </c>
      <c r="D1239" s="490" t="s">
        <v>788</v>
      </c>
      <c r="E1239" s="496" t="s">
        <v>789</v>
      </c>
      <c r="F1239" s="492" t="s">
        <v>790</v>
      </c>
      <c r="G1239" s="509" t="s">
        <v>791</v>
      </c>
    </row>
    <row r="1240" spans="1:7" ht="15" customHeight="1" x14ac:dyDescent="0.25">
      <c r="A1240" s="515" t="s">
        <v>1255</v>
      </c>
      <c r="B1240" s="497" t="s">
        <v>808</v>
      </c>
      <c r="C1240" s="501" t="s">
        <v>1282</v>
      </c>
      <c r="D1240" s="539" t="s">
        <v>62</v>
      </c>
      <c r="E1240" s="498">
        <v>1</v>
      </c>
      <c r="F1240" s="540">
        <f>D1247</f>
        <v>4143.62</v>
      </c>
      <c r="G1240" s="514">
        <f>TRUNC(F1240*E1240,2)</f>
        <v>4143.62</v>
      </c>
    </row>
    <row r="1241" spans="1:7" x14ac:dyDescent="0.25">
      <c r="A1241" s="780"/>
      <c r="B1241" s="781"/>
      <c r="C1241" s="781"/>
      <c r="D1241" s="781"/>
      <c r="E1241" s="781"/>
      <c r="F1241" s="781"/>
      <c r="G1241" s="782"/>
    </row>
    <row r="1242" spans="1:7" ht="15" customHeight="1" x14ac:dyDescent="0.25">
      <c r="A1242" s="544" t="s">
        <v>809</v>
      </c>
      <c r="B1242" s="802" t="str">
        <f>C1240</f>
        <v>POSTE DE CONCRETO CIRCULAR 11/1000</v>
      </c>
      <c r="C1242" s="802"/>
      <c r="D1242" s="802"/>
      <c r="E1242" s="802"/>
      <c r="F1242" s="802"/>
      <c r="G1242" s="809"/>
    </row>
    <row r="1243" spans="1:7" x14ac:dyDescent="0.25">
      <c r="A1243" s="545"/>
      <c r="B1243" s="728" t="s">
        <v>1247</v>
      </c>
      <c r="C1243" s="728"/>
      <c r="D1243" s="784" t="s">
        <v>810</v>
      </c>
      <c r="E1243" s="784"/>
      <c r="F1243" s="541" t="s">
        <v>811</v>
      </c>
      <c r="G1243" s="516" t="s">
        <v>1183</v>
      </c>
    </row>
    <row r="1244" spans="1:7" x14ac:dyDescent="0.25">
      <c r="A1244" s="517">
        <v>44740</v>
      </c>
      <c r="B1244" s="775" t="s">
        <v>1358</v>
      </c>
      <c r="C1244" s="775"/>
      <c r="D1244" s="776">
        <v>4143.62</v>
      </c>
      <c r="E1244" s="776"/>
      <c r="F1244" s="542" t="s">
        <v>1212</v>
      </c>
      <c r="G1244" s="518" t="s">
        <v>1359</v>
      </c>
    </row>
    <row r="1245" spans="1:7" x14ac:dyDescent="0.25">
      <c r="A1245" s="517">
        <v>44825</v>
      </c>
      <c r="B1245" s="851" t="s">
        <v>1638</v>
      </c>
      <c r="C1245" s="852"/>
      <c r="D1245" s="853">
        <v>11733.8</v>
      </c>
      <c r="E1245" s="854"/>
      <c r="F1245" s="542" t="s">
        <v>1209</v>
      </c>
      <c r="G1245" s="518" t="s">
        <v>1634</v>
      </c>
    </row>
    <row r="1246" spans="1:7" x14ac:dyDescent="0.25">
      <c r="A1246" s="517">
        <v>44826</v>
      </c>
      <c r="B1246" s="851" t="s">
        <v>1640</v>
      </c>
      <c r="C1246" s="852"/>
      <c r="D1246" s="853">
        <v>3162.84</v>
      </c>
      <c r="E1246" s="854"/>
      <c r="F1246" s="542" t="s">
        <v>1639</v>
      </c>
      <c r="G1246" s="518" t="s">
        <v>1637</v>
      </c>
    </row>
    <row r="1247" spans="1:7" x14ac:dyDescent="0.25">
      <c r="A1247" s="787" t="s">
        <v>812</v>
      </c>
      <c r="B1247" s="777"/>
      <c r="C1247" s="777"/>
      <c r="D1247" s="800">
        <f>MEDIAN(D1244:E1246)</f>
        <v>4143.62</v>
      </c>
      <c r="E1247" s="800"/>
      <c r="F1247" s="800"/>
      <c r="G1247" s="801"/>
    </row>
    <row r="1248" spans="1:7" x14ac:dyDescent="0.25">
      <c r="A1248" s="788" t="s">
        <v>21</v>
      </c>
      <c r="B1248" s="789"/>
      <c r="C1248" s="789"/>
      <c r="D1248" s="789"/>
      <c r="E1248" s="789"/>
      <c r="F1248" s="789"/>
      <c r="G1248" s="511">
        <f>SUM(G1240:G1240)</f>
        <v>4143.62</v>
      </c>
    </row>
    <row r="1249" spans="1:7" ht="15" customHeight="1" x14ac:dyDescent="0.25">
      <c r="A1249" s="828" t="s">
        <v>796</v>
      </c>
      <c r="B1249" s="829"/>
      <c r="C1249" s="829"/>
      <c r="D1249" s="829"/>
      <c r="E1249" s="829"/>
      <c r="F1249" s="829"/>
      <c r="G1249" s="512">
        <f>G1237+G1248</f>
        <v>5667.82</v>
      </c>
    </row>
    <row r="1250" spans="1:7" x14ac:dyDescent="0.25">
      <c r="A1250" s="794"/>
      <c r="B1250" s="795"/>
      <c r="C1250" s="795"/>
      <c r="D1250" s="795"/>
      <c r="E1250" s="795"/>
      <c r="F1250" s="795"/>
      <c r="G1250" s="796"/>
    </row>
    <row r="1251" spans="1:7" x14ac:dyDescent="0.25">
      <c r="A1251" s="803" t="s">
        <v>1663</v>
      </c>
      <c r="B1251" s="804"/>
      <c r="C1251" s="804"/>
      <c r="D1251" s="804"/>
      <c r="E1251" s="804"/>
      <c r="F1251" s="804"/>
      <c r="G1251" s="805"/>
    </row>
    <row r="1252" spans="1:7" x14ac:dyDescent="0.25">
      <c r="A1252" s="803"/>
      <c r="B1252" s="804"/>
      <c r="C1252" s="804"/>
      <c r="D1252" s="804"/>
      <c r="E1252" s="804"/>
      <c r="F1252" s="804"/>
      <c r="G1252" s="805"/>
    </row>
    <row r="1253" spans="1:7" x14ac:dyDescent="0.25">
      <c r="A1253" s="724" t="s">
        <v>1385</v>
      </c>
      <c r="B1253" s="725"/>
      <c r="C1253" s="725"/>
      <c r="D1253" s="725"/>
      <c r="E1253" s="725"/>
      <c r="F1253" s="725"/>
      <c r="G1253" s="726"/>
    </row>
    <row r="1254" spans="1:7" x14ac:dyDescent="0.25">
      <c r="A1254" s="780"/>
      <c r="B1254" s="781"/>
      <c r="C1254" s="781"/>
      <c r="D1254" s="781"/>
      <c r="E1254" s="781"/>
      <c r="F1254" s="781"/>
      <c r="G1254" s="782"/>
    </row>
    <row r="1255" spans="1:7" x14ac:dyDescent="0.25">
      <c r="A1255" s="790" t="s">
        <v>1493</v>
      </c>
      <c r="B1255" s="791"/>
      <c r="C1255" s="798" t="str">
        <f>B1267</f>
        <v>BRAÇO TIPO L</v>
      </c>
      <c r="D1255" s="798"/>
      <c r="E1255" s="798"/>
      <c r="F1255" s="798"/>
      <c r="G1255" s="799"/>
    </row>
    <row r="1256" spans="1:7" x14ac:dyDescent="0.25">
      <c r="A1256" s="780"/>
      <c r="B1256" s="781"/>
      <c r="C1256" s="781"/>
      <c r="D1256" s="781"/>
      <c r="E1256" s="781"/>
      <c r="F1256" s="781"/>
      <c r="G1256" s="782"/>
    </row>
    <row r="1257" spans="1:7" x14ac:dyDescent="0.25">
      <c r="A1257" s="507" t="s">
        <v>785</v>
      </c>
      <c r="B1257" s="485" t="s">
        <v>786</v>
      </c>
      <c r="C1257" s="489" t="s">
        <v>787</v>
      </c>
      <c r="D1257" s="490" t="s">
        <v>788</v>
      </c>
      <c r="E1257" s="491" t="s">
        <v>789</v>
      </c>
      <c r="F1257" s="492" t="s">
        <v>790</v>
      </c>
      <c r="G1257" s="509" t="s">
        <v>791</v>
      </c>
    </row>
    <row r="1258" spans="1:7" x14ac:dyDescent="0.25">
      <c r="A1258" s="545">
        <v>88247</v>
      </c>
      <c r="B1258" s="546" t="s">
        <v>792</v>
      </c>
      <c r="C1258" s="499" t="s">
        <v>806</v>
      </c>
      <c r="D1258" s="542" t="s">
        <v>799</v>
      </c>
      <c r="E1258" s="495">
        <v>0.3</v>
      </c>
      <c r="F1258" s="543">
        <v>19.2</v>
      </c>
      <c r="G1258" s="514">
        <f>TRUNC(F1258*E1258,2)</f>
        <v>5.76</v>
      </c>
    </row>
    <row r="1259" spans="1:7" x14ac:dyDescent="0.25">
      <c r="A1259" s="545">
        <v>88264</v>
      </c>
      <c r="B1259" s="546" t="s">
        <v>792</v>
      </c>
      <c r="C1259" s="499" t="s">
        <v>807</v>
      </c>
      <c r="D1259" s="542" t="s">
        <v>799</v>
      </c>
      <c r="E1259" s="495">
        <v>0.3</v>
      </c>
      <c r="F1259" s="543">
        <v>23.24</v>
      </c>
      <c r="G1259" s="514">
        <f>TRUNC(F1259*E1259,2)</f>
        <v>6.97</v>
      </c>
    </row>
    <row r="1260" spans="1:7" x14ac:dyDescent="0.25">
      <c r="A1260" s="788" t="s">
        <v>21</v>
      </c>
      <c r="B1260" s="789"/>
      <c r="C1260" s="789"/>
      <c r="D1260" s="789"/>
      <c r="E1260" s="789"/>
      <c r="F1260" s="789"/>
      <c r="G1260" s="511">
        <f>SUM(G1258:G1259)</f>
        <v>12.73</v>
      </c>
    </row>
    <row r="1261" spans="1:7" x14ac:dyDescent="0.25">
      <c r="A1261" s="780"/>
      <c r="B1261" s="781"/>
      <c r="C1261" s="781"/>
      <c r="D1261" s="781"/>
      <c r="E1261" s="781"/>
      <c r="F1261" s="781"/>
      <c r="G1261" s="782"/>
    </row>
    <row r="1262" spans="1:7" x14ac:dyDescent="0.25">
      <c r="A1262" s="507" t="s">
        <v>785</v>
      </c>
      <c r="B1262" s="485" t="s">
        <v>786</v>
      </c>
      <c r="C1262" s="489" t="s">
        <v>801</v>
      </c>
      <c r="D1262" s="490" t="s">
        <v>788</v>
      </c>
      <c r="E1262" s="496" t="s">
        <v>789</v>
      </c>
      <c r="F1262" s="492" t="s">
        <v>790</v>
      </c>
      <c r="G1262" s="509" t="s">
        <v>791</v>
      </c>
    </row>
    <row r="1263" spans="1:7" x14ac:dyDescent="0.25">
      <c r="A1263" s="515" t="s">
        <v>815</v>
      </c>
      <c r="B1263" s="546" t="s">
        <v>808</v>
      </c>
      <c r="C1263" s="501" t="str">
        <f>B1267</f>
        <v>BRAÇO TIPO L</v>
      </c>
      <c r="D1263" s="539" t="s">
        <v>62</v>
      </c>
      <c r="E1263" s="498">
        <v>1</v>
      </c>
      <c r="F1263" s="540">
        <f>D1272</f>
        <v>164.88</v>
      </c>
      <c r="G1263" s="514">
        <f>TRUNC(F1263*E1263,2)</f>
        <v>164.88</v>
      </c>
    </row>
    <row r="1264" spans="1:7" x14ac:dyDescent="0.25">
      <c r="A1264" s="788" t="s">
        <v>21</v>
      </c>
      <c r="B1264" s="789"/>
      <c r="C1264" s="789"/>
      <c r="D1264" s="789"/>
      <c r="E1264" s="789"/>
      <c r="F1264" s="789"/>
      <c r="G1264" s="511">
        <f>SUM(G1263:G1263)</f>
        <v>164.88</v>
      </c>
    </row>
    <row r="1265" spans="1:7" ht="15" customHeight="1" x14ac:dyDescent="0.25">
      <c r="A1265" s="797" t="s">
        <v>796</v>
      </c>
      <c r="B1265" s="786"/>
      <c r="C1265" s="786"/>
      <c r="D1265" s="786"/>
      <c r="E1265" s="786"/>
      <c r="F1265" s="786"/>
      <c r="G1265" s="512">
        <f>G1260+G1264</f>
        <v>177.60999999999999</v>
      </c>
    </row>
    <row r="1266" spans="1:7" ht="15" customHeight="1" x14ac:dyDescent="0.25">
      <c r="A1266" s="780"/>
      <c r="B1266" s="781"/>
      <c r="C1266" s="781"/>
      <c r="D1266" s="781"/>
      <c r="E1266" s="781"/>
      <c r="F1266" s="781"/>
      <c r="G1266" s="782"/>
    </row>
    <row r="1267" spans="1:7" x14ac:dyDescent="0.25">
      <c r="A1267" s="544" t="s">
        <v>809</v>
      </c>
      <c r="B1267" s="802" t="s">
        <v>1284</v>
      </c>
      <c r="C1267" s="802"/>
      <c r="D1267" s="802"/>
      <c r="E1267" s="802"/>
      <c r="F1267" s="802"/>
      <c r="G1267" s="809"/>
    </row>
    <row r="1268" spans="1:7" x14ac:dyDescent="0.25">
      <c r="A1268" s="545"/>
      <c r="B1268" s="728" t="s">
        <v>1247</v>
      </c>
      <c r="C1268" s="728"/>
      <c r="D1268" s="784" t="s">
        <v>810</v>
      </c>
      <c r="E1268" s="784"/>
      <c r="F1268" s="541" t="s">
        <v>811</v>
      </c>
      <c r="G1268" s="516" t="s">
        <v>1183</v>
      </c>
    </row>
    <row r="1269" spans="1:7" x14ac:dyDescent="0.25">
      <c r="A1269" s="517">
        <v>44770</v>
      </c>
      <c r="B1269" s="775" t="s">
        <v>1246</v>
      </c>
      <c r="C1269" s="775"/>
      <c r="D1269" s="776">
        <v>160.72</v>
      </c>
      <c r="E1269" s="776"/>
      <c r="F1269" s="542" t="s">
        <v>1208</v>
      </c>
      <c r="G1269" s="518"/>
    </row>
    <row r="1270" spans="1:7" x14ac:dyDescent="0.25">
      <c r="A1270" s="517">
        <v>44741</v>
      </c>
      <c r="B1270" s="775" t="s">
        <v>1362</v>
      </c>
      <c r="C1270" s="775"/>
      <c r="D1270" s="776">
        <v>219.51</v>
      </c>
      <c r="E1270" s="776"/>
      <c r="F1270" s="542" t="s">
        <v>1182</v>
      </c>
      <c r="G1270" s="518" t="s">
        <v>1363</v>
      </c>
    </row>
    <row r="1271" spans="1:7" x14ac:dyDescent="0.25">
      <c r="A1271" s="517">
        <v>44770</v>
      </c>
      <c r="B1271" s="775" t="s">
        <v>1249</v>
      </c>
      <c r="C1271" s="775"/>
      <c r="D1271" s="776">
        <v>164.88</v>
      </c>
      <c r="E1271" s="776"/>
      <c r="F1271" s="542" t="s">
        <v>1209</v>
      </c>
      <c r="G1271" s="518" t="s">
        <v>1361</v>
      </c>
    </row>
    <row r="1272" spans="1:7" x14ac:dyDescent="0.25">
      <c r="A1272" s="787" t="s">
        <v>812</v>
      </c>
      <c r="B1272" s="777"/>
      <c r="C1272" s="777"/>
      <c r="D1272" s="800">
        <f>MEDIAN(D1269:E1271)</f>
        <v>164.88</v>
      </c>
      <c r="E1272" s="800"/>
      <c r="F1272" s="800"/>
      <c r="G1272" s="801"/>
    </row>
    <row r="1273" spans="1:7" x14ac:dyDescent="0.25">
      <c r="A1273" s="780"/>
      <c r="B1273" s="781"/>
      <c r="C1273" s="781"/>
      <c r="D1273" s="781"/>
      <c r="E1273" s="781"/>
      <c r="F1273" s="781"/>
      <c r="G1273" s="782"/>
    </row>
    <row r="1274" spans="1:7" x14ac:dyDescent="0.25">
      <c r="A1274" s="772" t="s">
        <v>1354</v>
      </c>
      <c r="B1274" s="773"/>
      <c r="C1274" s="773"/>
      <c r="D1274" s="773"/>
      <c r="E1274" s="773"/>
      <c r="F1274" s="773"/>
      <c r="G1274" s="774"/>
    </row>
    <row r="1275" spans="1:7" x14ac:dyDescent="0.25">
      <c r="A1275" s="772"/>
      <c r="B1275" s="773"/>
      <c r="C1275" s="773"/>
      <c r="D1275" s="773"/>
      <c r="E1275" s="773"/>
      <c r="F1275" s="773"/>
      <c r="G1275" s="774"/>
    </row>
    <row r="1276" spans="1:7" x14ac:dyDescent="0.25">
      <c r="A1276" s="780"/>
      <c r="B1276" s="781"/>
      <c r="C1276" s="781"/>
      <c r="D1276" s="781"/>
      <c r="E1276" s="781"/>
      <c r="F1276" s="781"/>
      <c r="G1276" s="782"/>
    </row>
    <row r="1277" spans="1:7" x14ac:dyDescent="0.25">
      <c r="A1277" s="790" t="s">
        <v>1494</v>
      </c>
      <c r="B1277" s="791"/>
      <c r="C1277" s="792" t="str">
        <f>C1285</f>
        <v>ELETRODUTO DE AÇO GALVANIZADO - FOGO - 100 MM² X 3M (BARRA)</v>
      </c>
      <c r="D1277" s="792"/>
      <c r="E1277" s="792"/>
      <c r="F1277" s="792"/>
      <c r="G1277" s="793"/>
    </row>
    <row r="1278" spans="1:7" x14ac:dyDescent="0.25">
      <c r="A1278" s="780"/>
      <c r="B1278" s="781"/>
      <c r="C1278" s="781"/>
      <c r="D1278" s="781"/>
      <c r="E1278" s="781"/>
      <c r="F1278" s="781"/>
      <c r="G1278" s="782"/>
    </row>
    <row r="1279" spans="1:7" x14ac:dyDescent="0.25">
      <c r="A1279" s="507" t="s">
        <v>785</v>
      </c>
      <c r="B1279" s="485" t="s">
        <v>786</v>
      </c>
      <c r="C1279" s="489" t="s">
        <v>787</v>
      </c>
      <c r="D1279" s="490" t="s">
        <v>788</v>
      </c>
      <c r="E1279" s="491" t="s">
        <v>789</v>
      </c>
      <c r="F1279" s="492" t="s">
        <v>790</v>
      </c>
      <c r="G1279" s="509" t="s">
        <v>791</v>
      </c>
    </row>
    <row r="1280" spans="1:7" x14ac:dyDescent="0.25">
      <c r="A1280" s="545">
        <v>88247</v>
      </c>
      <c r="B1280" s="546" t="s">
        <v>792</v>
      </c>
      <c r="C1280" s="499" t="s">
        <v>806</v>
      </c>
      <c r="D1280" s="542" t="s">
        <v>799</v>
      </c>
      <c r="E1280" s="495">
        <v>0.6</v>
      </c>
      <c r="F1280" s="543">
        <v>19.2</v>
      </c>
      <c r="G1280" s="514">
        <f>TRUNC(F1280*E1280,2)</f>
        <v>11.52</v>
      </c>
    </row>
    <row r="1281" spans="1:7" x14ac:dyDescent="0.25">
      <c r="A1281" s="545">
        <v>88264</v>
      </c>
      <c r="B1281" s="546" t="s">
        <v>792</v>
      </c>
      <c r="C1281" s="499" t="s">
        <v>807</v>
      </c>
      <c r="D1281" s="542" t="s">
        <v>799</v>
      </c>
      <c r="E1281" s="495">
        <v>0.6</v>
      </c>
      <c r="F1281" s="543">
        <v>23.24</v>
      </c>
      <c r="G1281" s="514">
        <f>TRUNC(F1281*E1281,2)</f>
        <v>13.94</v>
      </c>
    </row>
    <row r="1282" spans="1:7" x14ac:dyDescent="0.25">
      <c r="A1282" s="788" t="s">
        <v>21</v>
      </c>
      <c r="B1282" s="789"/>
      <c r="C1282" s="789"/>
      <c r="D1282" s="789"/>
      <c r="E1282" s="789"/>
      <c r="F1282" s="789"/>
      <c r="G1282" s="511">
        <f>SUM(G1280:G1281)</f>
        <v>25.46</v>
      </c>
    </row>
    <row r="1283" spans="1:7" x14ac:dyDescent="0.25">
      <c r="A1283" s="780"/>
      <c r="B1283" s="781"/>
      <c r="C1283" s="781"/>
      <c r="D1283" s="781"/>
      <c r="E1283" s="781"/>
      <c r="F1283" s="781"/>
      <c r="G1283" s="782"/>
    </row>
    <row r="1284" spans="1:7" x14ac:dyDescent="0.25">
      <c r="A1284" s="507" t="s">
        <v>785</v>
      </c>
      <c r="B1284" s="485" t="s">
        <v>786</v>
      </c>
      <c r="C1284" s="489" t="s">
        <v>801</v>
      </c>
      <c r="D1284" s="490" t="s">
        <v>788</v>
      </c>
      <c r="E1284" s="496" t="s">
        <v>789</v>
      </c>
      <c r="F1284" s="492" t="s">
        <v>790</v>
      </c>
      <c r="G1284" s="509" t="s">
        <v>791</v>
      </c>
    </row>
    <row r="1285" spans="1:7" ht="15" customHeight="1" x14ac:dyDescent="0.25">
      <c r="A1285" s="515" t="s">
        <v>815</v>
      </c>
      <c r="B1285" s="546" t="s">
        <v>808</v>
      </c>
      <c r="C1285" s="501" t="s">
        <v>1285</v>
      </c>
      <c r="D1285" s="539" t="s">
        <v>62</v>
      </c>
      <c r="E1285" s="498">
        <v>1</v>
      </c>
      <c r="F1285" s="540">
        <f>D1293</f>
        <v>461.28</v>
      </c>
      <c r="G1285" s="514">
        <f>TRUNC(F1285*E1285,2)</f>
        <v>461.28</v>
      </c>
    </row>
    <row r="1286" spans="1:7" ht="15" customHeight="1" x14ac:dyDescent="0.25">
      <c r="A1286" s="788" t="s">
        <v>21</v>
      </c>
      <c r="B1286" s="789"/>
      <c r="C1286" s="789"/>
      <c r="D1286" s="789"/>
      <c r="E1286" s="789"/>
      <c r="F1286" s="789"/>
      <c r="G1286" s="511">
        <f>SUM(G1285:G1285)</f>
        <v>461.28</v>
      </c>
    </row>
    <row r="1287" spans="1:7" ht="15" customHeight="1" x14ac:dyDescent="0.25">
      <c r="A1287" s="780"/>
      <c r="B1287" s="781"/>
      <c r="C1287" s="781"/>
      <c r="D1287" s="781"/>
      <c r="E1287" s="781"/>
      <c r="F1287" s="781"/>
      <c r="G1287" s="782"/>
    </row>
    <row r="1288" spans="1:7" x14ac:dyDescent="0.25">
      <c r="A1288" s="544" t="s">
        <v>809</v>
      </c>
      <c r="B1288" s="728" t="str">
        <f>C1285</f>
        <v>ELETRODUTO DE AÇO GALVANIZADO - FOGO - 100 MM² X 3M (BARRA)</v>
      </c>
      <c r="C1288" s="728"/>
      <c r="D1288" s="728"/>
      <c r="E1288" s="728"/>
      <c r="F1288" s="728"/>
      <c r="G1288" s="729"/>
    </row>
    <row r="1289" spans="1:7" x14ac:dyDescent="0.25">
      <c r="A1289" s="545"/>
      <c r="B1289" s="728" t="s">
        <v>1247</v>
      </c>
      <c r="C1289" s="728"/>
      <c r="D1289" s="784" t="s">
        <v>810</v>
      </c>
      <c r="E1289" s="784"/>
      <c r="F1289" s="541" t="s">
        <v>811</v>
      </c>
      <c r="G1289" s="516" t="s">
        <v>1183</v>
      </c>
    </row>
    <row r="1290" spans="1:7" x14ac:dyDescent="0.25">
      <c r="A1290" s="517">
        <v>44740</v>
      </c>
      <c r="B1290" s="775" t="s">
        <v>1358</v>
      </c>
      <c r="C1290" s="775"/>
      <c r="D1290" s="776">
        <v>461.28</v>
      </c>
      <c r="E1290" s="776"/>
      <c r="F1290" s="542" t="s">
        <v>1212</v>
      </c>
      <c r="G1290" s="518" t="s">
        <v>1359</v>
      </c>
    </row>
    <row r="1291" spans="1:7" x14ac:dyDescent="0.25">
      <c r="A1291" s="519">
        <v>44741</v>
      </c>
      <c r="B1291" s="785" t="s">
        <v>1362</v>
      </c>
      <c r="C1291" s="785"/>
      <c r="D1291" s="783">
        <v>522.97</v>
      </c>
      <c r="E1291" s="783"/>
      <c r="F1291" s="539" t="s">
        <v>1182</v>
      </c>
      <c r="G1291" s="520" t="s">
        <v>1363</v>
      </c>
    </row>
    <row r="1292" spans="1:7" x14ac:dyDescent="0.25">
      <c r="A1292" s="519">
        <v>44741</v>
      </c>
      <c r="B1292" s="785" t="s">
        <v>1248</v>
      </c>
      <c r="C1292" s="785"/>
      <c r="D1292" s="783">
        <v>449.19</v>
      </c>
      <c r="E1292" s="783"/>
      <c r="F1292" s="539" t="s">
        <v>1360</v>
      </c>
      <c r="G1292" s="520" t="s">
        <v>1361</v>
      </c>
    </row>
    <row r="1293" spans="1:7" x14ac:dyDescent="0.25">
      <c r="A1293" s="787" t="s">
        <v>812</v>
      </c>
      <c r="B1293" s="777"/>
      <c r="C1293" s="777"/>
      <c r="D1293" s="800">
        <f>MEDIAN(D1290:E1292)</f>
        <v>461.28</v>
      </c>
      <c r="E1293" s="800"/>
      <c r="F1293" s="800"/>
      <c r="G1293" s="801"/>
    </row>
    <row r="1294" spans="1:7" x14ac:dyDescent="0.25">
      <c r="A1294" s="797" t="s">
        <v>796</v>
      </c>
      <c r="B1294" s="786"/>
      <c r="C1294" s="786"/>
      <c r="D1294" s="786"/>
      <c r="E1294" s="786"/>
      <c r="F1294" s="786"/>
      <c r="G1294" s="512">
        <f>G1282+G1286</f>
        <v>486.73999999999995</v>
      </c>
    </row>
    <row r="1295" spans="1:7" x14ac:dyDescent="0.25">
      <c r="A1295" s="780"/>
      <c r="B1295" s="781"/>
      <c r="C1295" s="781"/>
      <c r="D1295" s="781"/>
      <c r="E1295" s="781"/>
      <c r="F1295" s="781"/>
      <c r="G1295" s="782"/>
    </row>
    <row r="1296" spans="1:7" x14ac:dyDescent="0.25">
      <c r="A1296" s="772" t="s">
        <v>1664</v>
      </c>
      <c r="B1296" s="773"/>
      <c r="C1296" s="773"/>
      <c r="D1296" s="773"/>
      <c r="E1296" s="773"/>
      <c r="F1296" s="773"/>
      <c r="G1296" s="774"/>
    </row>
    <row r="1297" spans="1:7" x14ac:dyDescent="0.25">
      <c r="A1297" s="772"/>
      <c r="B1297" s="773"/>
      <c r="C1297" s="773"/>
      <c r="D1297" s="773"/>
      <c r="E1297" s="773"/>
      <c r="F1297" s="773"/>
      <c r="G1297" s="774"/>
    </row>
    <row r="1298" spans="1:7" x14ac:dyDescent="0.25">
      <c r="A1298" s="794"/>
      <c r="B1298" s="795"/>
      <c r="C1298" s="795"/>
      <c r="D1298" s="795"/>
      <c r="E1298" s="795"/>
      <c r="F1298" s="795"/>
      <c r="G1298" s="796"/>
    </row>
    <row r="1299" spans="1:7" ht="27" customHeight="1" x14ac:dyDescent="0.25">
      <c r="A1299" s="790" t="s">
        <v>1495</v>
      </c>
      <c r="B1299" s="791"/>
      <c r="C1299" s="826" t="str">
        <f>C1306</f>
        <v>CABECOTE PARA ENTRADA DE LINHA DE ALIMENTACAO PARA ELETRODUTO, EM LIGA DE ALUMINIO COM ACABAMENTO ANTI CORROSIVO, COM FIXACAO POR ENCAIXE LISO DE 360 GRAUS, DE 4"</v>
      </c>
      <c r="D1299" s="826"/>
      <c r="E1299" s="826"/>
      <c r="F1299" s="826"/>
      <c r="G1299" s="827"/>
    </row>
    <row r="1300" spans="1:7" x14ac:dyDescent="0.25">
      <c r="A1300" s="780"/>
      <c r="B1300" s="781"/>
      <c r="C1300" s="781"/>
      <c r="D1300" s="781"/>
      <c r="E1300" s="781"/>
      <c r="F1300" s="781"/>
      <c r="G1300" s="782"/>
    </row>
    <row r="1301" spans="1:7" x14ac:dyDescent="0.25">
      <c r="A1301" s="507" t="s">
        <v>785</v>
      </c>
      <c r="B1301" s="485" t="s">
        <v>786</v>
      </c>
      <c r="C1301" s="489" t="s">
        <v>787</v>
      </c>
      <c r="D1301" s="490" t="s">
        <v>788</v>
      </c>
      <c r="E1301" s="491" t="s">
        <v>789</v>
      </c>
      <c r="F1301" s="492" t="s">
        <v>790</v>
      </c>
      <c r="G1301" s="509" t="s">
        <v>791</v>
      </c>
    </row>
    <row r="1302" spans="1:7" x14ac:dyDescent="0.25">
      <c r="A1302" s="545">
        <v>88264</v>
      </c>
      <c r="B1302" s="546" t="s">
        <v>792</v>
      </c>
      <c r="C1302" s="499" t="s">
        <v>807</v>
      </c>
      <c r="D1302" s="542" t="s">
        <v>799</v>
      </c>
      <c r="E1302" s="495">
        <v>0.54</v>
      </c>
      <c r="F1302" s="543">
        <v>23.24</v>
      </c>
      <c r="G1302" s="514">
        <f>TRUNC(F1302*E1302,2)</f>
        <v>12.54</v>
      </c>
    </row>
    <row r="1303" spans="1:7" x14ac:dyDescent="0.25">
      <c r="A1303" s="788" t="s">
        <v>21</v>
      </c>
      <c r="B1303" s="789"/>
      <c r="C1303" s="789"/>
      <c r="D1303" s="789"/>
      <c r="E1303" s="789"/>
      <c r="F1303" s="789"/>
      <c r="G1303" s="511">
        <f>SUM(G1302:G1302)</f>
        <v>12.54</v>
      </c>
    </row>
    <row r="1304" spans="1:7" x14ac:dyDescent="0.25">
      <c r="A1304" s="780"/>
      <c r="B1304" s="781"/>
      <c r="C1304" s="781"/>
      <c r="D1304" s="781"/>
      <c r="E1304" s="781"/>
      <c r="F1304" s="781"/>
      <c r="G1304" s="782"/>
    </row>
    <row r="1305" spans="1:7" x14ac:dyDescent="0.25">
      <c r="A1305" s="507" t="s">
        <v>785</v>
      </c>
      <c r="B1305" s="485" t="s">
        <v>786</v>
      </c>
      <c r="C1305" s="489" t="s">
        <v>801</v>
      </c>
      <c r="D1305" s="490" t="s">
        <v>788</v>
      </c>
      <c r="E1305" s="496" t="s">
        <v>789</v>
      </c>
      <c r="F1305" s="492" t="s">
        <v>790</v>
      </c>
      <c r="G1305" s="509" t="s">
        <v>791</v>
      </c>
    </row>
    <row r="1306" spans="1:7" ht="45" x14ac:dyDescent="0.25">
      <c r="A1306" s="545">
        <v>1051</v>
      </c>
      <c r="B1306" s="546" t="s">
        <v>817</v>
      </c>
      <c r="C1306" s="499" t="s">
        <v>1286</v>
      </c>
      <c r="D1306" s="539" t="s">
        <v>62</v>
      </c>
      <c r="E1306" s="498">
        <v>1</v>
      </c>
      <c r="F1306" s="540">
        <v>60.37</v>
      </c>
      <c r="G1306" s="510">
        <f t="shared" ref="G1306" si="23">TRUNC(E1306*F1306,2)</f>
        <v>60.37</v>
      </c>
    </row>
    <row r="1307" spans="1:7" x14ac:dyDescent="0.25">
      <c r="A1307" s="545"/>
      <c r="B1307" s="849" t="s">
        <v>21</v>
      </c>
      <c r="C1307" s="849"/>
      <c r="D1307" s="849"/>
      <c r="E1307" s="849"/>
      <c r="F1307" s="849"/>
      <c r="G1307" s="510">
        <f>G1306</f>
        <v>60.37</v>
      </c>
    </row>
    <row r="1308" spans="1:7" x14ac:dyDescent="0.25">
      <c r="A1308" s="797" t="s">
        <v>796</v>
      </c>
      <c r="B1308" s="786"/>
      <c r="C1308" s="786"/>
      <c r="D1308" s="786"/>
      <c r="E1308" s="786"/>
      <c r="F1308" s="786"/>
      <c r="G1308" s="512">
        <f>G1303+G1306</f>
        <v>72.91</v>
      </c>
    </row>
    <row r="1309" spans="1:7" x14ac:dyDescent="0.25">
      <c r="A1309" s="780"/>
      <c r="B1309" s="781"/>
      <c r="C1309" s="781"/>
      <c r="D1309" s="781"/>
      <c r="E1309" s="781"/>
      <c r="F1309" s="781"/>
      <c r="G1309" s="782"/>
    </row>
    <row r="1310" spans="1:7" x14ac:dyDescent="0.25">
      <c r="A1310" s="772" t="s">
        <v>1665</v>
      </c>
      <c r="B1310" s="773"/>
      <c r="C1310" s="773"/>
      <c r="D1310" s="773"/>
      <c r="E1310" s="773"/>
      <c r="F1310" s="773"/>
      <c r="G1310" s="774"/>
    </row>
    <row r="1311" spans="1:7" x14ac:dyDescent="0.25">
      <c r="A1311" s="772"/>
      <c r="B1311" s="773"/>
      <c r="C1311" s="773"/>
      <c r="D1311" s="773"/>
      <c r="E1311" s="773"/>
      <c r="F1311" s="773"/>
      <c r="G1311" s="774"/>
    </row>
    <row r="1312" spans="1:7" x14ac:dyDescent="0.25">
      <c r="A1312" s="780"/>
      <c r="B1312" s="781"/>
      <c r="C1312" s="781"/>
      <c r="D1312" s="781"/>
      <c r="E1312" s="781"/>
      <c r="F1312" s="781"/>
      <c r="G1312" s="782"/>
    </row>
    <row r="1313" spans="1:7" x14ac:dyDescent="0.25">
      <c r="A1313" s="790" t="s">
        <v>1496</v>
      </c>
      <c r="B1313" s="791"/>
      <c r="C1313" s="792" t="str">
        <f>B1325</f>
        <v>BRAÇO TIPO C</v>
      </c>
      <c r="D1313" s="792"/>
      <c r="E1313" s="792"/>
      <c r="F1313" s="792"/>
      <c r="G1313" s="793"/>
    </row>
    <row r="1314" spans="1:7" x14ac:dyDescent="0.25">
      <c r="A1314" s="780"/>
      <c r="B1314" s="781"/>
      <c r="C1314" s="781"/>
      <c r="D1314" s="781"/>
      <c r="E1314" s="781"/>
      <c r="F1314" s="781"/>
      <c r="G1314" s="782"/>
    </row>
    <row r="1315" spans="1:7" x14ac:dyDescent="0.25">
      <c r="A1315" s="507" t="s">
        <v>785</v>
      </c>
      <c r="B1315" s="485" t="s">
        <v>786</v>
      </c>
      <c r="C1315" s="489" t="s">
        <v>787</v>
      </c>
      <c r="D1315" s="490" t="s">
        <v>788</v>
      </c>
      <c r="E1315" s="491" t="s">
        <v>789</v>
      </c>
      <c r="F1315" s="492" t="s">
        <v>790</v>
      </c>
      <c r="G1315" s="509" t="s">
        <v>791</v>
      </c>
    </row>
    <row r="1316" spans="1:7" x14ac:dyDescent="0.25">
      <c r="A1316" s="545">
        <v>88247</v>
      </c>
      <c r="B1316" s="546" t="s">
        <v>792</v>
      </c>
      <c r="C1316" s="499" t="s">
        <v>806</v>
      </c>
      <c r="D1316" s="542" t="s">
        <v>799</v>
      </c>
      <c r="E1316" s="495">
        <v>0.2</v>
      </c>
      <c r="F1316" s="543">
        <v>19.2</v>
      </c>
      <c r="G1316" s="514">
        <f>TRUNC(F1316*E1316,2)</f>
        <v>3.84</v>
      </c>
    </row>
    <row r="1317" spans="1:7" x14ac:dyDescent="0.25">
      <c r="A1317" s="545">
        <v>88264</v>
      </c>
      <c r="B1317" s="546" t="s">
        <v>792</v>
      </c>
      <c r="C1317" s="499" t="s">
        <v>807</v>
      </c>
      <c r="D1317" s="542" t="s">
        <v>799</v>
      </c>
      <c r="E1317" s="495">
        <v>0.2</v>
      </c>
      <c r="F1317" s="543">
        <v>23.24</v>
      </c>
      <c r="G1317" s="514">
        <f>TRUNC(F1317*E1317,2)</f>
        <v>4.6399999999999997</v>
      </c>
    </row>
    <row r="1318" spans="1:7" x14ac:dyDescent="0.25">
      <c r="A1318" s="507"/>
      <c r="B1318" s="485"/>
      <c r="C1318" s="494" t="s">
        <v>21</v>
      </c>
      <c r="D1318" s="538"/>
      <c r="E1318" s="488"/>
      <c r="F1318" s="487"/>
      <c r="G1318" s="511">
        <f>SUM(G1316:G1317)</f>
        <v>8.48</v>
      </c>
    </row>
    <row r="1319" spans="1:7" x14ac:dyDescent="0.25">
      <c r="A1319" s="780"/>
      <c r="B1319" s="781"/>
      <c r="C1319" s="781"/>
      <c r="D1319" s="781"/>
      <c r="E1319" s="781"/>
      <c r="F1319" s="781"/>
      <c r="G1319" s="782"/>
    </row>
    <row r="1320" spans="1:7" x14ac:dyDescent="0.25">
      <c r="A1320" s="507" t="s">
        <v>785</v>
      </c>
      <c r="B1320" s="485" t="s">
        <v>786</v>
      </c>
      <c r="C1320" s="489" t="s">
        <v>801</v>
      </c>
      <c r="D1320" s="490" t="s">
        <v>788</v>
      </c>
      <c r="E1320" s="496" t="s">
        <v>789</v>
      </c>
      <c r="F1320" s="492" t="s">
        <v>790</v>
      </c>
      <c r="G1320" s="509" t="s">
        <v>791</v>
      </c>
    </row>
    <row r="1321" spans="1:7" x14ac:dyDescent="0.25">
      <c r="A1321" s="515" t="s">
        <v>815</v>
      </c>
      <c r="B1321" s="546" t="s">
        <v>808</v>
      </c>
      <c r="C1321" s="501" t="str">
        <f>B1325</f>
        <v>BRAÇO TIPO C</v>
      </c>
      <c r="D1321" s="539" t="s">
        <v>62</v>
      </c>
      <c r="E1321" s="498">
        <v>1</v>
      </c>
      <c r="F1321" s="540">
        <f>D1330</f>
        <v>218.31</v>
      </c>
      <c r="G1321" s="514">
        <f>TRUNC(F1321*E1321,2)</f>
        <v>218.31</v>
      </c>
    </row>
    <row r="1322" spans="1:7" ht="15" customHeight="1" x14ac:dyDescent="0.25">
      <c r="A1322" s="788" t="s">
        <v>21</v>
      </c>
      <c r="B1322" s="789"/>
      <c r="C1322" s="789"/>
      <c r="D1322" s="789"/>
      <c r="E1322" s="789"/>
      <c r="F1322" s="789"/>
      <c r="G1322" s="511">
        <f>SUM(G1321:G1321)</f>
        <v>218.31</v>
      </c>
    </row>
    <row r="1323" spans="1:7" ht="15" customHeight="1" x14ac:dyDescent="0.25">
      <c r="A1323" s="797" t="s">
        <v>796</v>
      </c>
      <c r="B1323" s="786"/>
      <c r="C1323" s="786"/>
      <c r="D1323" s="786"/>
      <c r="E1323" s="786"/>
      <c r="F1323" s="786"/>
      <c r="G1323" s="512">
        <f>G1318+G1322</f>
        <v>226.79</v>
      </c>
    </row>
    <row r="1324" spans="1:7" ht="15" customHeight="1" x14ac:dyDescent="0.25">
      <c r="A1324" s="780"/>
      <c r="B1324" s="781"/>
      <c r="C1324" s="781"/>
      <c r="D1324" s="781"/>
      <c r="E1324" s="781"/>
      <c r="F1324" s="781"/>
      <c r="G1324" s="782"/>
    </row>
    <row r="1325" spans="1:7" x14ac:dyDescent="0.25">
      <c r="A1325" s="544" t="s">
        <v>809</v>
      </c>
      <c r="B1325" s="802" t="s">
        <v>1287</v>
      </c>
      <c r="C1325" s="802"/>
      <c r="D1325" s="802"/>
      <c r="E1325" s="802"/>
      <c r="F1325" s="802"/>
      <c r="G1325" s="809"/>
    </row>
    <row r="1326" spans="1:7" x14ac:dyDescent="0.25">
      <c r="A1326" s="545"/>
      <c r="B1326" s="728" t="s">
        <v>1247</v>
      </c>
      <c r="C1326" s="728"/>
      <c r="D1326" s="784" t="s">
        <v>810</v>
      </c>
      <c r="E1326" s="784"/>
      <c r="F1326" s="541" t="s">
        <v>811</v>
      </c>
      <c r="G1326" s="516" t="s">
        <v>1183</v>
      </c>
    </row>
    <row r="1327" spans="1:7" x14ac:dyDescent="0.25">
      <c r="A1327" s="517">
        <v>44740</v>
      </c>
      <c r="B1327" s="775" t="s">
        <v>1358</v>
      </c>
      <c r="C1327" s="775"/>
      <c r="D1327" s="776">
        <v>193.47</v>
      </c>
      <c r="E1327" s="776"/>
      <c r="F1327" s="542" t="s">
        <v>1212</v>
      </c>
      <c r="G1327" s="518" t="s">
        <v>1359</v>
      </c>
    </row>
    <row r="1328" spans="1:7" x14ac:dyDescent="0.25">
      <c r="A1328" s="519">
        <v>44741</v>
      </c>
      <c r="B1328" s="785" t="s">
        <v>1362</v>
      </c>
      <c r="C1328" s="785"/>
      <c r="D1328" s="783">
        <v>218.31</v>
      </c>
      <c r="E1328" s="783"/>
      <c r="F1328" s="539" t="s">
        <v>1182</v>
      </c>
      <c r="G1328" s="520" t="s">
        <v>1363</v>
      </c>
    </row>
    <row r="1329" spans="1:7" x14ac:dyDescent="0.25">
      <c r="A1329" s="519">
        <v>44741</v>
      </c>
      <c r="B1329" s="785" t="s">
        <v>1248</v>
      </c>
      <c r="C1329" s="785"/>
      <c r="D1329" s="783">
        <v>282.22000000000003</v>
      </c>
      <c r="E1329" s="783"/>
      <c r="F1329" s="539" t="s">
        <v>1360</v>
      </c>
      <c r="G1329" s="520" t="s">
        <v>1361</v>
      </c>
    </row>
    <row r="1330" spans="1:7" x14ac:dyDescent="0.25">
      <c r="A1330" s="787" t="s">
        <v>812</v>
      </c>
      <c r="B1330" s="777"/>
      <c r="C1330" s="777"/>
      <c r="D1330" s="800">
        <f>MEDIAN(D1327:E1329)</f>
        <v>218.31</v>
      </c>
      <c r="E1330" s="800"/>
      <c r="F1330" s="800"/>
      <c r="G1330" s="801"/>
    </row>
    <row r="1331" spans="1:7" x14ac:dyDescent="0.25">
      <c r="A1331" s="780"/>
      <c r="B1331" s="781"/>
      <c r="C1331" s="781"/>
      <c r="D1331" s="781"/>
      <c r="E1331" s="781"/>
      <c r="F1331" s="781"/>
      <c r="G1331" s="782"/>
    </row>
    <row r="1332" spans="1:7" x14ac:dyDescent="0.25">
      <c r="A1332" s="772" t="s">
        <v>1666</v>
      </c>
      <c r="B1332" s="773"/>
      <c r="C1332" s="773"/>
      <c r="D1332" s="773"/>
      <c r="E1332" s="773"/>
      <c r="F1332" s="773"/>
      <c r="G1332" s="774"/>
    </row>
    <row r="1333" spans="1:7" x14ac:dyDescent="0.25">
      <c r="A1333" s="772"/>
      <c r="B1333" s="773"/>
      <c r="C1333" s="773"/>
      <c r="D1333" s="773"/>
      <c r="E1333" s="773"/>
      <c r="F1333" s="773"/>
      <c r="G1333" s="774"/>
    </row>
    <row r="1334" spans="1:7" x14ac:dyDescent="0.25">
      <c r="A1334" s="780"/>
      <c r="B1334" s="781"/>
      <c r="C1334" s="781"/>
      <c r="D1334" s="781"/>
      <c r="E1334" s="781"/>
      <c r="F1334" s="781"/>
      <c r="G1334" s="782"/>
    </row>
    <row r="1335" spans="1:7" x14ac:dyDescent="0.25">
      <c r="A1335" s="790" t="s">
        <v>1497</v>
      </c>
      <c r="B1335" s="791"/>
      <c r="C1335" s="798" t="str">
        <f>B1347</f>
        <v>MANILHA TORCIDA</v>
      </c>
      <c r="D1335" s="798"/>
      <c r="E1335" s="798"/>
      <c r="F1335" s="798"/>
      <c r="G1335" s="799"/>
    </row>
    <row r="1336" spans="1:7" x14ac:dyDescent="0.25">
      <c r="A1336" s="780"/>
      <c r="B1336" s="781"/>
      <c r="C1336" s="781"/>
      <c r="D1336" s="781"/>
      <c r="E1336" s="781"/>
      <c r="F1336" s="781"/>
      <c r="G1336" s="782"/>
    </row>
    <row r="1337" spans="1:7" x14ac:dyDescent="0.25">
      <c r="A1337" s="507" t="s">
        <v>785</v>
      </c>
      <c r="B1337" s="485" t="s">
        <v>786</v>
      </c>
      <c r="C1337" s="489" t="s">
        <v>787</v>
      </c>
      <c r="D1337" s="490" t="s">
        <v>788</v>
      </c>
      <c r="E1337" s="491" t="s">
        <v>789</v>
      </c>
      <c r="F1337" s="492" t="s">
        <v>790</v>
      </c>
      <c r="G1337" s="509" t="s">
        <v>791</v>
      </c>
    </row>
    <row r="1338" spans="1:7" x14ac:dyDescent="0.25">
      <c r="A1338" s="545">
        <v>88247</v>
      </c>
      <c r="B1338" s="546" t="s">
        <v>792</v>
      </c>
      <c r="C1338" s="499" t="s">
        <v>806</v>
      </c>
      <c r="D1338" s="542" t="s">
        <v>799</v>
      </c>
      <c r="E1338" s="495">
        <v>0.05</v>
      </c>
      <c r="F1338" s="543">
        <v>19.2</v>
      </c>
      <c r="G1338" s="514">
        <f>TRUNC(F1338*E1338,2)</f>
        <v>0.96</v>
      </c>
    </row>
    <row r="1339" spans="1:7" x14ac:dyDescent="0.25">
      <c r="A1339" s="545">
        <v>88264</v>
      </c>
      <c r="B1339" s="546" t="s">
        <v>792</v>
      </c>
      <c r="C1339" s="499" t="s">
        <v>807</v>
      </c>
      <c r="D1339" s="542" t="s">
        <v>799</v>
      </c>
      <c r="E1339" s="495">
        <v>0.1</v>
      </c>
      <c r="F1339" s="543">
        <v>23.24</v>
      </c>
      <c r="G1339" s="514">
        <f>TRUNC(F1339*E1339,2)</f>
        <v>2.3199999999999998</v>
      </c>
    </row>
    <row r="1340" spans="1:7" x14ac:dyDescent="0.25">
      <c r="A1340" s="788" t="s">
        <v>21</v>
      </c>
      <c r="B1340" s="789"/>
      <c r="C1340" s="789"/>
      <c r="D1340" s="789"/>
      <c r="E1340" s="789"/>
      <c r="F1340" s="789"/>
      <c r="G1340" s="511">
        <f>SUM(G1338:G1339)</f>
        <v>3.28</v>
      </c>
    </row>
    <row r="1341" spans="1:7" x14ac:dyDescent="0.25">
      <c r="A1341" s="780"/>
      <c r="B1341" s="781"/>
      <c r="C1341" s="781"/>
      <c r="D1341" s="781"/>
      <c r="E1341" s="781"/>
      <c r="F1341" s="781"/>
      <c r="G1341" s="782"/>
    </row>
    <row r="1342" spans="1:7" x14ac:dyDescent="0.25">
      <c r="A1342" s="507" t="s">
        <v>785</v>
      </c>
      <c r="B1342" s="485" t="s">
        <v>786</v>
      </c>
      <c r="C1342" s="489" t="s">
        <v>801</v>
      </c>
      <c r="D1342" s="490" t="s">
        <v>788</v>
      </c>
      <c r="E1342" s="496" t="s">
        <v>789</v>
      </c>
      <c r="F1342" s="492" t="s">
        <v>790</v>
      </c>
      <c r="G1342" s="509" t="s">
        <v>791</v>
      </c>
    </row>
    <row r="1343" spans="1:7" x14ac:dyDescent="0.25">
      <c r="A1343" s="515" t="s">
        <v>815</v>
      </c>
      <c r="B1343" s="546" t="s">
        <v>808</v>
      </c>
      <c r="C1343" s="501" t="str">
        <f>B1347</f>
        <v>MANILHA TORCIDA</v>
      </c>
      <c r="D1343" s="539" t="s">
        <v>62</v>
      </c>
      <c r="E1343" s="498">
        <v>1</v>
      </c>
      <c r="F1343" s="540">
        <f>D1351</f>
        <v>28.310000000000002</v>
      </c>
      <c r="G1343" s="514">
        <f>TRUNC(F1343*E1343,2)</f>
        <v>28.31</v>
      </c>
    </row>
    <row r="1344" spans="1:7" x14ac:dyDescent="0.25">
      <c r="A1344" s="788" t="s">
        <v>21</v>
      </c>
      <c r="B1344" s="789"/>
      <c r="C1344" s="789"/>
      <c r="D1344" s="789"/>
      <c r="E1344" s="789"/>
      <c r="F1344" s="789"/>
      <c r="G1344" s="511">
        <f>SUM(G1343:G1343)</f>
        <v>28.31</v>
      </c>
    </row>
    <row r="1345" spans="1:7" ht="15" customHeight="1" x14ac:dyDescent="0.25">
      <c r="A1345" s="545"/>
      <c r="B1345" s="546"/>
      <c r="C1345" s="786" t="s">
        <v>796</v>
      </c>
      <c r="D1345" s="786"/>
      <c r="E1345" s="786"/>
      <c r="F1345" s="786"/>
      <c r="G1345" s="512">
        <f>G1340+G1344</f>
        <v>31.59</v>
      </c>
    </row>
    <row r="1346" spans="1:7" x14ac:dyDescent="0.25">
      <c r="A1346" s="780"/>
      <c r="B1346" s="781"/>
      <c r="C1346" s="781"/>
      <c r="D1346" s="781"/>
      <c r="E1346" s="781"/>
      <c r="F1346" s="781"/>
      <c r="G1346" s="782"/>
    </row>
    <row r="1347" spans="1:7" ht="15" customHeight="1" x14ac:dyDescent="0.25">
      <c r="A1347" s="544" t="s">
        <v>809</v>
      </c>
      <c r="B1347" s="802" t="s">
        <v>1288</v>
      </c>
      <c r="C1347" s="802"/>
      <c r="D1347" s="802"/>
      <c r="E1347" s="802"/>
      <c r="F1347" s="802"/>
      <c r="G1347" s="809"/>
    </row>
    <row r="1348" spans="1:7" x14ac:dyDescent="0.25">
      <c r="A1348" s="545"/>
      <c r="B1348" s="728" t="s">
        <v>1247</v>
      </c>
      <c r="C1348" s="728"/>
      <c r="D1348" s="784" t="s">
        <v>810</v>
      </c>
      <c r="E1348" s="784"/>
      <c r="F1348" s="541" t="s">
        <v>811</v>
      </c>
      <c r="G1348" s="516" t="s">
        <v>1183</v>
      </c>
    </row>
    <row r="1349" spans="1:7" x14ac:dyDescent="0.25">
      <c r="A1349" s="519">
        <v>44741</v>
      </c>
      <c r="B1349" s="785" t="s">
        <v>1362</v>
      </c>
      <c r="C1349" s="785"/>
      <c r="D1349" s="783">
        <v>27.23</v>
      </c>
      <c r="E1349" s="783"/>
      <c r="F1349" s="539" t="s">
        <v>1182</v>
      </c>
      <c r="G1349" s="520" t="s">
        <v>1363</v>
      </c>
    </row>
    <row r="1350" spans="1:7" ht="15" customHeight="1" x14ac:dyDescent="0.25">
      <c r="A1350" s="517">
        <v>44771</v>
      </c>
      <c r="B1350" s="775" t="s">
        <v>1249</v>
      </c>
      <c r="C1350" s="775"/>
      <c r="D1350" s="776">
        <v>29.39</v>
      </c>
      <c r="E1350" s="776"/>
      <c r="F1350" s="542" t="s">
        <v>1209</v>
      </c>
      <c r="G1350" s="518" t="s">
        <v>1361</v>
      </c>
    </row>
    <row r="1351" spans="1:7" x14ac:dyDescent="0.25">
      <c r="A1351" s="787" t="s">
        <v>812</v>
      </c>
      <c r="B1351" s="777"/>
      <c r="C1351" s="777"/>
      <c r="D1351" s="800">
        <f>MEDIAN(D1349:E1350)</f>
        <v>28.310000000000002</v>
      </c>
      <c r="E1351" s="800"/>
      <c r="F1351" s="800"/>
      <c r="G1351" s="801"/>
    </row>
    <row r="1352" spans="1:7" x14ac:dyDescent="0.25">
      <c r="A1352" s="780"/>
      <c r="B1352" s="781"/>
      <c r="C1352" s="781"/>
      <c r="D1352" s="781"/>
      <c r="E1352" s="781"/>
      <c r="F1352" s="781"/>
      <c r="G1352" s="782"/>
    </row>
    <row r="1353" spans="1:7" x14ac:dyDescent="0.25">
      <c r="A1353" s="772" t="s">
        <v>1355</v>
      </c>
      <c r="B1353" s="773"/>
      <c r="C1353" s="773"/>
      <c r="D1353" s="773"/>
      <c r="E1353" s="773"/>
      <c r="F1353" s="773"/>
      <c r="G1353" s="774"/>
    </row>
    <row r="1354" spans="1:7" x14ac:dyDescent="0.25">
      <c r="A1354" s="772"/>
      <c r="B1354" s="773"/>
      <c r="C1354" s="773"/>
      <c r="D1354" s="773"/>
      <c r="E1354" s="773"/>
      <c r="F1354" s="773"/>
      <c r="G1354" s="774"/>
    </row>
    <row r="1355" spans="1:7" x14ac:dyDescent="0.25">
      <c r="A1355" s="724" t="s">
        <v>1371</v>
      </c>
      <c r="B1355" s="725"/>
      <c r="C1355" s="725"/>
      <c r="D1355" s="725"/>
      <c r="E1355" s="725"/>
      <c r="F1355" s="725"/>
      <c r="G1355" s="726"/>
    </row>
    <row r="1356" spans="1:7" x14ac:dyDescent="0.25">
      <c r="A1356" s="780"/>
      <c r="B1356" s="781"/>
      <c r="C1356" s="781"/>
      <c r="D1356" s="781"/>
      <c r="E1356" s="781"/>
      <c r="F1356" s="781"/>
      <c r="G1356" s="782"/>
    </row>
    <row r="1357" spans="1:7" x14ac:dyDescent="0.25">
      <c r="A1357" s="790" t="s">
        <v>1498</v>
      </c>
      <c r="B1357" s="791"/>
      <c r="C1357" s="798" t="str">
        <f>B1369</f>
        <v>MÃO FRANCESA PERFILADA</v>
      </c>
      <c r="D1357" s="798"/>
      <c r="E1357" s="798"/>
      <c r="F1357" s="798"/>
      <c r="G1357" s="799"/>
    </row>
    <row r="1358" spans="1:7" x14ac:dyDescent="0.25">
      <c r="A1358" s="780"/>
      <c r="B1358" s="781"/>
      <c r="C1358" s="781"/>
      <c r="D1358" s="781"/>
      <c r="E1358" s="781"/>
      <c r="F1358" s="781"/>
      <c r="G1358" s="782"/>
    </row>
    <row r="1359" spans="1:7" x14ac:dyDescent="0.25">
      <c r="A1359" s="507" t="s">
        <v>785</v>
      </c>
      <c r="B1359" s="485" t="s">
        <v>786</v>
      </c>
      <c r="C1359" s="489" t="s">
        <v>787</v>
      </c>
      <c r="D1359" s="490" t="s">
        <v>788</v>
      </c>
      <c r="E1359" s="491" t="s">
        <v>789</v>
      </c>
      <c r="F1359" s="492" t="s">
        <v>790</v>
      </c>
      <c r="G1359" s="509" t="s">
        <v>791</v>
      </c>
    </row>
    <row r="1360" spans="1:7" x14ac:dyDescent="0.25">
      <c r="A1360" s="545">
        <v>88247</v>
      </c>
      <c r="B1360" s="546" t="s">
        <v>792</v>
      </c>
      <c r="C1360" s="499" t="s">
        <v>806</v>
      </c>
      <c r="D1360" s="542" t="s">
        <v>799</v>
      </c>
      <c r="E1360" s="495">
        <v>0.3</v>
      </c>
      <c r="F1360" s="543">
        <v>19.2</v>
      </c>
      <c r="G1360" s="514">
        <f>TRUNC(F1360*E1360,2)</f>
        <v>5.76</v>
      </c>
    </row>
    <row r="1361" spans="1:7" x14ac:dyDescent="0.25">
      <c r="A1361" s="545">
        <v>88264</v>
      </c>
      <c r="B1361" s="546" t="s">
        <v>792</v>
      </c>
      <c r="C1361" s="499" t="s">
        <v>807</v>
      </c>
      <c r="D1361" s="542" t="s">
        <v>799</v>
      </c>
      <c r="E1361" s="495">
        <v>0.3</v>
      </c>
      <c r="F1361" s="543">
        <v>23.24</v>
      </c>
      <c r="G1361" s="514">
        <f>TRUNC(F1361*E1361,2)</f>
        <v>6.97</v>
      </c>
    </row>
    <row r="1362" spans="1:7" x14ac:dyDescent="0.25">
      <c r="A1362" s="788" t="s">
        <v>21</v>
      </c>
      <c r="B1362" s="789"/>
      <c r="C1362" s="789"/>
      <c r="D1362" s="789"/>
      <c r="E1362" s="789"/>
      <c r="F1362" s="789"/>
      <c r="G1362" s="511">
        <f>SUM(G1360:G1361)</f>
        <v>12.73</v>
      </c>
    </row>
    <row r="1363" spans="1:7" x14ac:dyDescent="0.25">
      <c r="A1363" s="780"/>
      <c r="B1363" s="781"/>
      <c r="C1363" s="781"/>
      <c r="D1363" s="781"/>
      <c r="E1363" s="781"/>
      <c r="F1363" s="781"/>
      <c r="G1363" s="782"/>
    </row>
    <row r="1364" spans="1:7" x14ac:dyDescent="0.25">
      <c r="A1364" s="507" t="s">
        <v>785</v>
      </c>
      <c r="B1364" s="485" t="s">
        <v>786</v>
      </c>
      <c r="C1364" s="489" t="s">
        <v>801</v>
      </c>
      <c r="D1364" s="490" t="s">
        <v>788</v>
      </c>
      <c r="E1364" s="496" t="s">
        <v>789</v>
      </c>
      <c r="F1364" s="492" t="s">
        <v>790</v>
      </c>
      <c r="G1364" s="509" t="s">
        <v>791</v>
      </c>
    </row>
    <row r="1365" spans="1:7" x14ac:dyDescent="0.25">
      <c r="A1365" s="515" t="s">
        <v>815</v>
      </c>
      <c r="B1365" s="546" t="s">
        <v>808</v>
      </c>
      <c r="C1365" s="501" t="str">
        <f>B1369</f>
        <v>MÃO FRANCESA PERFILADA</v>
      </c>
      <c r="D1365" s="539" t="s">
        <v>62</v>
      </c>
      <c r="E1365" s="498">
        <v>1</v>
      </c>
      <c r="F1365" s="540">
        <f>D1373</f>
        <v>33.075000000000003</v>
      </c>
      <c r="G1365" s="514">
        <f>TRUNC(F1365*E1365,2)</f>
        <v>33.07</v>
      </c>
    </row>
    <row r="1366" spans="1:7" ht="15" customHeight="1" x14ac:dyDescent="0.25">
      <c r="A1366" s="788" t="s">
        <v>21</v>
      </c>
      <c r="B1366" s="789"/>
      <c r="C1366" s="789"/>
      <c r="D1366" s="789"/>
      <c r="E1366" s="789"/>
      <c r="F1366" s="789"/>
      <c r="G1366" s="511">
        <f>SUM(G1365:G1365)</f>
        <v>33.07</v>
      </c>
    </row>
    <row r="1367" spans="1:7" x14ac:dyDescent="0.25">
      <c r="A1367" s="797" t="s">
        <v>796</v>
      </c>
      <c r="B1367" s="786"/>
      <c r="C1367" s="786"/>
      <c r="D1367" s="786"/>
      <c r="E1367" s="786"/>
      <c r="F1367" s="786"/>
      <c r="G1367" s="512">
        <f>G1362+G1366</f>
        <v>45.8</v>
      </c>
    </row>
    <row r="1368" spans="1:7" x14ac:dyDescent="0.25">
      <c r="A1368" s="780"/>
      <c r="B1368" s="781"/>
      <c r="C1368" s="781"/>
      <c r="D1368" s="781"/>
      <c r="E1368" s="781"/>
      <c r="F1368" s="781"/>
      <c r="G1368" s="782"/>
    </row>
    <row r="1369" spans="1:7" ht="15" customHeight="1" x14ac:dyDescent="0.25">
      <c r="A1369" s="544" t="s">
        <v>809</v>
      </c>
      <c r="B1369" s="802" t="s">
        <v>1289</v>
      </c>
      <c r="C1369" s="802"/>
      <c r="D1369" s="802"/>
      <c r="E1369" s="802"/>
      <c r="F1369" s="802"/>
      <c r="G1369" s="809"/>
    </row>
    <row r="1370" spans="1:7" x14ac:dyDescent="0.25">
      <c r="A1370" s="545"/>
      <c r="B1370" s="728" t="s">
        <v>1247</v>
      </c>
      <c r="C1370" s="728"/>
      <c r="D1370" s="784" t="s">
        <v>810</v>
      </c>
      <c r="E1370" s="784"/>
      <c r="F1370" s="541" t="s">
        <v>811</v>
      </c>
      <c r="G1370" s="516" t="s">
        <v>1183</v>
      </c>
    </row>
    <row r="1371" spans="1:7" x14ac:dyDescent="0.25">
      <c r="A1371" s="519">
        <v>44741</v>
      </c>
      <c r="B1371" s="785" t="s">
        <v>1362</v>
      </c>
      <c r="C1371" s="785"/>
      <c r="D1371" s="783">
        <v>24.16</v>
      </c>
      <c r="E1371" s="783"/>
      <c r="F1371" s="539" t="s">
        <v>1182</v>
      </c>
      <c r="G1371" s="520" t="s">
        <v>1363</v>
      </c>
    </row>
    <row r="1372" spans="1:7" ht="15" customHeight="1" x14ac:dyDescent="0.25">
      <c r="A1372" s="517">
        <v>44771</v>
      </c>
      <c r="B1372" s="775" t="s">
        <v>1249</v>
      </c>
      <c r="C1372" s="775"/>
      <c r="D1372" s="776">
        <v>41.99</v>
      </c>
      <c r="E1372" s="776"/>
      <c r="F1372" s="542" t="s">
        <v>1209</v>
      </c>
      <c r="G1372" s="518" t="s">
        <v>1361</v>
      </c>
    </row>
    <row r="1373" spans="1:7" x14ac:dyDescent="0.25">
      <c r="A1373" s="787" t="s">
        <v>812</v>
      </c>
      <c r="B1373" s="777"/>
      <c r="C1373" s="777"/>
      <c r="D1373" s="800">
        <f>MEDIAN(D1371:E1372)</f>
        <v>33.075000000000003</v>
      </c>
      <c r="E1373" s="800"/>
      <c r="F1373" s="800"/>
      <c r="G1373" s="801"/>
    </row>
    <row r="1374" spans="1:7" x14ac:dyDescent="0.25">
      <c r="A1374" s="780"/>
      <c r="B1374" s="781"/>
      <c r="C1374" s="781"/>
      <c r="D1374" s="781"/>
      <c r="E1374" s="781"/>
      <c r="F1374" s="781"/>
      <c r="G1374" s="782"/>
    </row>
    <row r="1375" spans="1:7" x14ac:dyDescent="0.25">
      <c r="A1375" s="772" t="s">
        <v>1667</v>
      </c>
      <c r="B1375" s="773"/>
      <c r="C1375" s="773"/>
      <c r="D1375" s="773"/>
      <c r="E1375" s="773"/>
      <c r="F1375" s="773"/>
      <c r="G1375" s="774"/>
    </row>
    <row r="1376" spans="1:7" x14ac:dyDescent="0.25">
      <c r="A1376" s="772"/>
      <c r="B1376" s="773"/>
      <c r="C1376" s="773"/>
      <c r="D1376" s="773"/>
      <c r="E1376" s="773"/>
      <c r="F1376" s="773"/>
      <c r="G1376" s="774"/>
    </row>
    <row r="1377" spans="1:7" x14ac:dyDescent="0.25">
      <c r="A1377" s="724" t="s">
        <v>1371</v>
      </c>
      <c r="B1377" s="725"/>
      <c r="C1377" s="725"/>
      <c r="D1377" s="725"/>
      <c r="E1377" s="725"/>
      <c r="F1377" s="725"/>
      <c r="G1377" s="726"/>
    </row>
    <row r="1378" spans="1:7" x14ac:dyDescent="0.25">
      <c r="A1378" s="780"/>
      <c r="B1378" s="781"/>
      <c r="C1378" s="781"/>
      <c r="D1378" s="781"/>
      <c r="E1378" s="781"/>
      <c r="F1378" s="781"/>
      <c r="G1378" s="782"/>
    </row>
    <row r="1379" spans="1:7" x14ac:dyDescent="0.25">
      <c r="A1379" s="790" t="s">
        <v>1499</v>
      </c>
      <c r="B1379" s="791"/>
      <c r="C1379" s="798" t="str">
        <f>B1391</f>
        <v xml:space="preserve">SUPORTE FIXAÇÃO TIPO L </v>
      </c>
      <c r="D1379" s="798"/>
      <c r="E1379" s="798"/>
      <c r="F1379" s="798"/>
      <c r="G1379" s="799"/>
    </row>
    <row r="1380" spans="1:7" x14ac:dyDescent="0.25">
      <c r="A1380" s="780"/>
      <c r="B1380" s="781"/>
      <c r="C1380" s="781"/>
      <c r="D1380" s="781"/>
      <c r="E1380" s="781"/>
      <c r="F1380" s="781"/>
      <c r="G1380" s="782"/>
    </row>
    <row r="1381" spans="1:7" x14ac:dyDescent="0.25">
      <c r="A1381" s="507" t="s">
        <v>785</v>
      </c>
      <c r="B1381" s="485" t="s">
        <v>786</v>
      </c>
      <c r="C1381" s="489" t="s">
        <v>787</v>
      </c>
      <c r="D1381" s="490" t="s">
        <v>788</v>
      </c>
      <c r="E1381" s="491" t="s">
        <v>789</v>
      </c>
      <c r="F1381" s="492" t="s">
        <v>790</v>
      </c>
      <c r="G1381" s="509" t="s">
        <v>791</v>
      </c>
    </row>
    <row r="1382" spans="1:7" x14ac:dyDescent="0.25">
      <c r="A1382" s="545">
        <v>88247</v>
      </c>
      <c r="B1382" s="546" t="s">
        <v>792</v>
      </c>
      <c r="C1382" s="499" t="s">
        <v>806</v>
      </c>
      <c r="D1382" s="542" t="s">
        <v>799</v>
      </c>
      <c r="E1382" s="495">
        <v>0.4</v>
      </c>
      <c r="F1382" s="543">
        <v>19.2</v>
      </c>
      <c r="G1382" s="514">
        <f>TRUNC(F1382*E1382,2)</f>
        <v>7.68</v>
      </c>
    </row>
    <row r="1383" spans="1:7" x14ac:dyDescent="0.25">
      <c r="A1383" s="545">
        <v>88264</v>
      </c>
      <c r="B1383" s="546" t="s">
        <v>792</v>
      </c>
      <c r="C1383" s="499" t="s">
        <v>807</v>
      </c>
      <c r="D1383" s="542" t="s">
        <v>799</v>
      </c>
      <c r="E1383" s="495">
        <v>0.4</v>
      </c>
      <c r="F1383" s="543">
        <v>23.24</v>
      </c>
      <c r="G1383" s="514">
        <f>TRUNC(F1383*E1383,2)</f>
        <v>9.2899999999999991</v>
      </c>
    </row>
    <row r="1384" spans="1:7" x14ac:dyDescent="0.25">
      <c r="A1384" s="788" t="s">
        <v>21</v>
      </c>
      <c r="B1384" s="789"/>
      <c r="C1384" s="789"/>
      <c r="D1384" s="789"/>
      <c r="E1384" s="789"/>
      <c r="F1384" s="789"/>
      <c r="G1384" s="511">
        <f>SUM(G1382:G1383)</f>
        <v>16.97</v>
      </c>
    </row>
    <row r="1385" spans="1:7" x14ac:dyDescent="0.25">
      <c r="A1385" s="780"/>
      <c r="B1385" s="781"/>
      <c r="C1385" s="781"/>
      <c r="D1385" s="781"/>
      <c r="E1385" s="781"/>
      <c r="F1385" s="781"/>
      <c r="G1385" s="782"/>
    </row>
    <row r="1386" spans="1:7" x14ac:dyDescent="0.25">
      <c r="A1386" s="507" t="s">
        <v>785</v>
      </c>
      <c r="B1386" s="485" t="s">
        <v>786</v>
      </c>
      <c r="C1386" s="489" t="s">
        <v>801</v>
      </c>
      <c r="D1386" s="490" t="s">
        <v>788</v>
      </c>
      <c r="E1386" s="496" t="s">
        <v>789</v>
      </c>
      <c r="F1386" s="492" t="s">
        <v>790</v>
      </c>
      <c r="G1386" s="509" t="s">
        <v>791</v>
      </c>
    </row>
    <row r="1387" spans="1:7" x14ac:dyDescent="0.25">
      <c r="A1387" s="515" t="s">
        <v>815</v>
      </c>
      <c r="B1387" s="546" t="s">
        <v>808</v>
      </c>
      <c r="C1387" s="501" t="str">
        <f>B1391</f>
        <v xml:space="preserve">SUPORTE FIXAÇÃO TIPO L </v>
      </c>
      <c r="D1387" s="539" t="s">
        <v>62</v>
      </c>
      <c r="E1387" s="498">
        <v>1</v>
      </c>
      <c r="F1387" s="540">
        <f>D1394</f>
        <v>18.28</v>
      </c>
      <c r="G1387" s="514">
        <f>TRUNC(F1387*E1387,2)</f>
        <v>18.28</v>
      </c>
    </row>
    <row r="1388" spans="1:7" x14ac:dyDescent="0.25">
      <c r="A1388" s="788" t="s">
        <v>21</v>
      </c>
      <c r="B1388" s="789"/>
      <c r="C1388" s="789"/>
      <c r="D1388" s="789"/>
      <c r="E1388" s="789"/>
      <c r="F1388" s="789"/>
      <c r="G1388" s="511">
        <f>SUM(G1387:G1387)</f>
        <v>18.28</v>
      </c>
    </row>
    <row r="1389" spans="1:7" x14ac:dyDescent="0.25">
      <c r="A1389" s="545"/>
      <c r="B1389" s="546"/>
      <c r="C1389" s="786" t="s">
        <v>796</v>
      </c>
      <c r="D1389" s="786"/>
      <c r="E1389" s="786"/>
      <c r="F1389" s="786"/>
      <c r="G1389" s="512">
        <f>G1384+G1388</f>
        <v>35.25</v>
      </c>
    </row>
    <row r="1390" spans="1:7" x14ac:dyDescent="0.25">
      <c r="A1390" s="780"/>
      <c r="B1390" s="781"/>
      <c r="C1390" s="781"/>
      <c r="D1390" s="781"/>
      <c r="E1390" s="781"/>
      <c r="F1390" s="781"/>
      <c r="G1390" s="782"/>
    </row>
    <row r="1391" spans="1:7" ht="15" customHeight="1" x14ac:dyDescent="0.25">
      <c r="A1391" s="544" t="s">
        <v>809</v>
      </c>
      <c r="B1391" s="802" t="s">
        <v>1356</v>
      </c>
      <c r="C1391" s="802"/>
      <c r="D1391" s="802"/>
      <c r="E1391" s="802"/>
      <c r="F1391" s="802"/>
      <c r="G1391" s="809"/>
    </row>
    <row r="1392" spans="1:7" x14ac:dyDescent="0.25">
      <c r="A1392" s="545"/>
      <c r="B1392" s="728" t="s">
        <v>1247</v>
      </c>
      <c r="C1392" s="728"/>
      <c r="D1392" s="784" t="s">
        <v>810</v>
      </c>
      <c r="E1392" s="784"/>
      <c r="F1392" s="541" t="s">
        <v>811</v>
      </c>
      <c r="G1392" s="516" t="s">
        <v>1183</v>
      </c>
    </row>
    <row r="1393" spans="1:7" x14ac:dyDescent="0.25">
      <c r="A1393" s="517">
        <v>44771</v>
      </c>
      <c r="B1393" s="775" t="s">
        <v>1246</v>
      </c>
      <c r="C1393" s="775"/>
      <c r="D1393" s="776">
        <v>18.28</v>
      </c>
      <c r="E1393" s="776"/>
      <c r="F1393" s="542" t="s">
        <v>1208</v>
      </c>
      <c r="G1393" s="518"/>
    </row>
    <row r="1394" spans="1:7" x14ac:dyDescent="0.25">
      <c r="A1394" s="787" t="s">
        <v>812</v>
      </c>
      <c r="B1394" s="777"/>
      <c r="C1394" s="777"/>
      <c r="D1394" s="800">
        <f>MEDIAN(D1393:E1393)</f>
        <v>18.28</v>
      </c>
      <c r="E1394" s="800"/>
      <c r="F1394" s="800"/>
      <c r="G1394" s="801"/>
    </row>
    <row r="1395" spans="1:7" x14ac:dyDescent="0.25">
      <c r="A1395" s="780"/>
      <c r="B1395" s="781"/>
      <c r="C1395" s="781"/>
      <c r="D1395" s="781"/>
      <c r="E1395" s="781"/>
      <c r="F1395" s="781"/>
      <c r="G1395" s="782"/>
    </row>
    <row r="1396" spans="1:7" x14ac:dyDescent="0.25">
      <c r="A1396" s="772" t="s">
        <v>1668</v>
      </c>
      <c r="B1396" s="773"/>
      <c r="C1396" s="773"/>
      <c r="D1396" s="773"/>
      <c r="E1396" s="773"/>
      <c r="F1396" s="773"/>
      <c r="G1396" s="774"/>
    </row>
    <row r="1397" spans="1:7" x14ac:dyDescent="0.25">
      <c r="A1397" s="772"/>
      <c r="B1397" s="773"/>
      <c r="C1397" s="773"/>
      <c r="D1397" s="773"/>
      <c r="E1397" s="773"/>
      <c r="F1397" s="773"/>
      <c r="G1397" s="774"/>
    </row>
    <row r="1398" spans="1:7" x14ac:dyDescent="0.25">
      <c r="A1398" s="724" t="s">
        <v>1385</v>
      </c>
      <c r="B1398" s="725"/>
      <c r="C1398" s="725"/>
      <c r="D1398" s="725"/>
      <c r="E1398" s="725"/>
      <c r="F1398" s="725"/>
      <c r="G1398" s="726"/>
    </row>
    <row r="1399" spans="1:7" x14ac:dyDescent="0.25">
      <c r="A1399" s="780"/>
      <c r="B1399" s="781"/>
      <c r="C1399" s="781"/>
      <c r="D1399" s="781"/>
      <c r="E1399" s="781"/>
      <c r="F1399" s="781"/>
      <c r="G1399" s="782"/>
    </row>
    <row r="1400" spans="1:7" x14ac:dyDescent="0.25">
      <c r="A1400" s="790" t="s">
        <v>1500</v>
      </c>
      <c r="B1400" s="791"/>
      <c r="C1400" s="792" t="str">
        <f>B1412</f>
        <v>BRAÇO AFASTADOR HORIZONTAL</v>
      </c>
      <c r="D1400" s="792"/>
      <c r="E1400" s="792"/>
      <c r="F1400" s="792"/>
      <c r="G1400" s="793"/>
    </row>
    <row r="1401" spans="1:7" x14ac:dyDescent="0.25">
      <c r="A1401" s="780"/>
      <c r="B1401" s="781"/>
      <c r="C1401" s="781"/>
      <c r="D1401" s="781"/>
      <c r="E1401" s="781"/>
      <c r="F1401" s="781"/>
      <c r="G1401" s="782"/>
    </row>
    <row r="1402" spans="1:7" x14ac:dyDescent="0.25">
      <c r="A1402" s="507" t="s">
        <v>785</v>
      </c>
      <c r="B1402" s="485" t="s">
        <v>786</v>
      </c>
      <c r="C1402" s="489" t="s">
        <v>787</v>
      </c>
      <c r="D1402" s="490" t="s">
        <v>788</v>
      </c>
      <c r="E1402" s="491" t="s">
        <v>789</v>
      </c>
      <c r="F1402" s="492" t="s">
        <v>790</v>
      </c>
      <c r="G1402" s="509" t="s">
        <v>791</v>
      </c>
    </row>
    <row r="1403" spans="1:7" x14ac:dyDescent="0.25">
      <c r="A1403" s="545">
        <v>88247</v>
      </c>
      <c r="B1403" s="546" t="s">
        <v>792</v>
      </c>
      <c r="C1403" s="499" t="s">
        <v>806</v>
      </c>
      <c r="D1403" s="542" t="s">
        <v>799</v>
      </c>
      <c r="E1403" s="495">
        <v>0.1</v>
      </c>
      <c r="F1403" s="543">
        <v>19.2</v>
      </c>
      <c r="G1403" s="514">
        <f>TRUNC(F1403*E1403,2)</f>
        <v>1.92</v>
      </c>
    </row>
    <row r="1404" spans="1:7" x14ac:dyDescent="0.25">
      <c r="A1404" s="545">
        <v>88264</v>
      </c>
      <c r="B1404" s="546" t="s">
        <v>792</v>
      </c>
      <c r="C1404" s="499" t="s">
        <v>807</v>
      </c>
      <c r="D1404" s="542" t="s">
        <v>799</v>
      </c>
      <c r="E1404" s="495">
        <v>0.1</v>
      </c>
      <c r="F1404" s="543">
        <v>23.24</v>
      </c>
      <c r="G1404" s="514">
        <f>TRUNC(F1404*E1404,2)</f>
        <v>2.3199999999999998</v>
      </c>
    </row>
    <row r="1405" spans="1:7" x14ac:dyDescent="0.25">
      <c r="A1405" s="788" t="s">
        <v>21</v>
      </c>
      <c r="B1405" s="789"/>
      <c r="C1405" s="789"/>
      <c r="D1405" s="789"/>
      <c r="E1405" s="789"/>
      <c r="F1405" s="789"/>
      <c r="G1405" s="511">
        <f>SUM(G1403:G1404)</f>
        <v>4.24</v>
      </c>
    </row>
    <row r="1406" spans="1:7" ht="15" customHeight="1" x14ac:dyDescent="0.25">
      <c r="A1406" s="780"/>
      <c r="B1406" s="781"/>
      <c r="C1406" s="781"/>
      <c r="D1406" s="781"/>
      <c r="E1406" s="781"/>
      <c r="F1406" s="781"/>
      <c r="G1406" s="782"/>
    </row>
    <row r="1407" spans="1:7" ht="15" customHeight="1" x14ac:dyDescent="0.25">
      <c r="A1407" s="507" t="s">
        <v>785</v>
      </c>
      <c r="B1407" s="485" t="s">
        <v>786</v>
      </c>
      <c r="C1407" s="489" t="s">
        <v>801</v>
      </c>
      <c r="D1407" s="490" t="s">
        <v>788</v>
      </c>
      <c r="E1407" s="496" t="s">
        <v>789</v>
      </c>
      <c r="F1407" s="492" t="s">
        <v>790</v>
      </c>
      <c r="G1407" s="509" t="s">
        <v>791</v>
      </c>
    </row>
    <row r="1408" spans="1:7" ht="15" customHeight="1" x14ac:dyDescent="0.25">
      <c r="A1408" s="515" t="s">
        <v>815</v>
      </c>
      <c r="B1408" s="546" t="s">
        <v>808</v>
      </c>
      <c r="C1408" s="501" t="str">
        <f>B1412</f>
        <v>BRAÇO AFASTADOR HORIZONTAL</v>
      </c>
      <c r="D1408" s="539" t="s">
        <v>62</v>
      </c>
      <c r="E1408" s="498">
        <v>1</v>
      </c>
      <c r="F1408" s="540">
        <f>D1417</f>
        <v>410.66</v>
      </c>
      <c r="G1408" s="514">
        <f>TRUNC(F1408*E1408,2)</f>
        <v>410.66</v>
      </c>
    </row>
    <row r="1409" spans="1:7" x14ac:dyDescent="0.25">
      <c r="A1409" s="788" t="s">
        <v>21</v>
      </c>
      <c r="B1409" s="789"/>
      <c r="C1409" s="789"/>
      <c r="D1409" s="789"/>
      <c r="E1409" s="789"/>
      <c r="F1409" s="789"/>
      <c r="G1409" s="511">
        <f>SUM(G1408:G1408)</f>
        <v>410.66</v>
      </c>
    </row>
    <row r="1410" spans="1:7" x14ac:dyDescent="0.25">
      <c r="A1410" s="797" t="s">
        <v>796</v>
      </c>
      <c r="B1410" s="786"/>
      <c r="C1410" s="786"/>
      <c r="D1410" s="786"/>
      <c r="E1410" s="786"/>
      <c r="F1410" s="786"/>
      <c r="G1410" s="512">
        <f>G1405+G1409</f>
        <v>414.90000000000003</v>
      </c>
    </row>
    <row r="1411" spans="1:7" x14ac:dyDescent="0.25">
      <c r="A1411" s="780"/>
      <c r="B1411" s="781"/>
      <c r="C1411" s="781"/>
      <c r="D1411" s="781"/>
      <c r="E1411" s="781"/>
      <c r="F1411" s="781"/>
      <c r="G1411" s="782"/>
    </row>
    <row r="1412" spans="1:7" ht="15" customHeight="1" x14ac:dyDescent="0.25">
      <c r="A1412" s="544" t="s">
        <v>809</v>
      </c>
      <c r="B1412" s="802" t="s">
        <v>1290</v>
      </c>
      <c r="C1412" s="802"/>
      <c r="D1412" s="802"/>
      <c r="E1412" s="802"/>
      <c r="F1412" s="802"/>
      <c r="G1412" s="809"/>
    </row>
    <row r="1413" spans="1:7" x14ac:dyDescent="0.25">
      <c r="A1413" s="545"/>
      <c r="B1413" s="728" t="s">
        <v>1247</v>
      </c>
      <c r="C1413" s="728"/>
      <c r="D1413" s="784" t="s">
        <v>810</v>
      </c>
      <c r="E1413" s="784"/>
      <c r="F1413" s="541" t="s">
        <v>811</v>
      </c>
      <c r="G1413" s="516" t="s">
        <v>1183</v>
      </c>
    </row>
    <row r="1414" spans="1:7" x14ac:dyDescent="0.25">
      <c r="A1414" s="517">
        <v>44740</v>
      </c>
      <c r="B1414" s="775" t="s">
        <v>1358</v>
      </c>
      <c r="C1414" s="775"/>
      <c r="D1414" s="776">
        <v>410.66</v>
      </c>
      <c r="E1414" s="776"/>
      <c r="F1414" s="542" t="s">
        <v>1212</v>
      </c>
      <c r="G1414" s="518" t="s">
        <v>1359</v>
      </c>
    </row>
    <row r="1415" spans="1:7" x14ac:dyDescent="0.25">
      <c r="A1415" s="519">
        <v>44741</v>
      </c>
      <c r="B1415" s="785" t="s">
        <v>1362</v>
      </c>
      <c r="C1415" s="785"/>
      <c r="D1415" s="783">
        <v>557.48</v>
      </c>
      <c r="E1415" s="783"/>
      <c r="F1415" s="539" t="s">
        <v>1182</v>
      </c>
      <c r="G1415" s="520" t="s">
        <v>1363</v>
      </c>
    </row>
    <row r="1416" spans="1:7" x14ac:dyDescent="0.25">
      <c r="A1416" s="519">
        <v>44741</v>
      </c>
      <c r="B1416" s="785" t="s">
        <v>1248</v>
      </c>
      <c r="C1416" s="785"/>
      <c r="D1416" s="783">
        <v>282.22000000000003</v>
      </c>
      <c r="E1416" s="783"/>
      <c r="F1416" s="539" t="s">
        <v>1360</v>
      </c>
      <c r="G1416" s="520" t="s">
        <v>1361</v>
      </c>
    </row>
    <row r="1417" spans="1:7" x14ac:dyDescent="0.25">
      <c r="A1417" s="545"/>
      <c r="B1417" s="777" t="s">
        <v>812</v>
      </c>
      <c r="C1417" s="777"/>
      <c r="D1417" s="800">
        <f>MEDIAN(D1414:E1416)</f>
        <v>410.66</v>
      </c>
      <c r="E1417" s="800"/>
      <c r="F1417" s="800"/>
      <c r="G1417" s="801"/>
    </row>
    <row r="1418" spans="1:7" x14ac:dyDescent="0.25">
      <c r="A1418" s="780"/>
      <c r="B1418" s="781"/>
      <c r="C1418" s="781"/>
      <c r="D1418" s="781"/>
      <c r="E1418" s="781"/>
      <c r="F1418" s="781"/>
      <c r="G1418" s="782"/>
    </row>
    <row r="1419" spans="1:7" x14ac:dyDescent="0.25">
      <c r="A1419" s="772" t="s">
        <v>1669</v>
      </c>
      <c r="B1419" s="773"/>
      <c r="C1419" s="773"/>
      <c r="D1419" s="773"/>
      <c r="E1419" s="773"/>
      <c r="F1419" s="773"/>
      <c r="G1419" s="774"/>
    </row>
    <row r="1420" spans="1:7" x14ac:dyDescent="0.25">
      <c r="A1420" s="772"/>
      <c r="B1420" s="773"/>
      <c r="C1420" s="773"/>
      <c r="D1420" s="773"/>
      <c r="E1420" s="773"/>
      <c r="F1420" s="773"/>
      <c r="G1420" s="774"/>
    </row>
    <row r="1421" spans="1:7" x14ac:dyDescent="0.25">
      <c r="A1421" s="780"/>
      <c r="B1421" s="781"/>
      <c r="C1421" s="781"/>
      <c r="D1421" s="781"/>
      <c r="E1421" s="781"/>
      <c r="F1421" s="781"/>
      <c r="G1421" s="782"/>
    </row>
    <row r="1422" spans="1:7" x14ac:dyDescent="0.25">
      <c r="A1422" s="790" t="s">
        <v>1501</v>
      </c>
      <c r="B1422" s="791"/>
      <c r="C1422" s="798" t="str">
        <f>C1430</f>
        <v>CANTONEIRA AUXILIAR PARA BRAÇO TIPO C</v>
      </c>
      <c r="D1422" s="798"/>
      <c r="E1422" s="798"/>
      <c r="F1422" s="798"/>
      <c r="G1422" s="799"/>
    </row>
    <row r="1423" spans="1:7" x14ac:dyDescent="0.25">
      <c r="A1423" s="780"/>
      <c r="B1423" s="781"/>
      <c r="C1423" s="781"/>
      <c r="D1423" s="781"/>
      <c r="E1423" s="781"/>
      <c r="F1423" s="781"/>
      <c r="G1423" s="782"/>
    </row>
    <row r="1424" spans="1:7" x14ac:dyDescent="0.25">
      <c r="A1424" s="507" t="s">
        <v>785</v>
      </c>
      <c r="B1424" s="485" t="s">
        <v>786</v>
      </c>
      <c r="C1424" s="489" t="s">
        <v>787</v>
      </c>
      <c r="D1424" s="490" t="s">
        <v>788</v>
      </c>
      <c r="E1424" s="491" t="s">
        <v>789</v>
      </c>
      <c r="F1424" s="492" t="s">
        <v>790</v>
      </c>
      <c r="G1424" s="509" t="s">
        <v>791</v>
      </c>
    </row>
    <row r="1425" spans="1:7" x14ac:dyDescent="0.25">
      <c r="A1425" s="545">
        <v>88247</v>
      </c>
      <c r="B1425" s="546" t="s">
        <v>792</v>
      </c>
      <c r="C1425" s="499" t="s">
        <v>806</v>
      </c>
      <c r="D1425" s="542" t="s">
        <v>799</v>
      </c>
      <c r="E1425" s="495">
        <v>0.1</v>
      </c>
      <c r="F1425" s="543">
        <v>19.2</v>
      </c>
      <c r="G1425" s="514">
        <f>TRUNC(F1425*E1425,2)</f>
        <v>1.92</v>
      </c>
    </row>
    <row r="1426" spans="1:7" x14ac:dyDescent="0.25">
      <c r="A1426" s="545">
        <v>88264</v>
      </c>
      <c r="B1426" s="546" t="s">
        <v>792</v>
      </c>
      <c r="C1426" s="499" t="s">
        <v>807</v>
      </c>
      <c r="D1426" s="542" t="s">
        <v>799</v>
      </c>
      <c r="E1426" s="495">
        <v>0.1</v>
      </c>
      <c r="F1426" s="543">
        <v>23.24</v>
      </c>
      <c r="G1426" s="514">
        <f>TRUNC(F1426*E1426,2)</f>
        <v>2.3199999999999998</v>
      </c>
    </row>
    <row r="1427" spans="1:7" x14ac:dyDescent="0.25">
      <c r="A1427" s="788" t="s">
        <v>21</v>
      </c>
      <c r="B1427" s="789"/>
      <c r="C1427" s="789"/>
      <c r="D1427" s="789"/>
      <c r="E1427" s="789"/>
      <c r="F1427" s="789"/>
      <c r="G1427" s="511">
        <f>SUM(G1425:G1426)</f>
        <v>4.24</v>
      </c>
    </row>
    <row r="1428" spans="1:7" x14ac:dyDescent="0.25">
      <c r="A1428" s="780"/>
      <c r="B1428" s="781"/>
      <c r="C1428" s="781"/>
      <c r="D1428" s="781"/>
      <c r="E1428" s="781"/>
      <c r="F1428" s="781"/>
      <c r="G1428" s="782"/>
    </row>
    <row r="1429" spans="1:7" x14ac:dyDescent="0.25">
      <c r="A1429" s="507" t="s">
        <v>785</v>
      </c>
      <c r="B1429" s="485" t="s">
        <v>786</v>
      </c>
      <c r="C1429" s="489" t="s">
        <v>801</v>
      </c>
      <c r="D1429" s="490" t="s">
        <v>788</v>
      </c>
      <c r="E1429" s="496" t="s">
        <v>789</v>
      </c>
      <c r="F1429" s="492" t="s">
        <v>790</v>
      </c>
      <c r="G1429" s="509" t="s">
        <v>791</v>
      </c>
    </row>
    <row r="1430" spans="1:7" x14ac:dyDescent="0.25">
      <c r="A1430" s="515">
        <v>568</v>
      </c>
      <c r="B1430" s="546" t="s">
        <v>792</v>
      </c>
      <c r="C1430" s="501" t="s">
        <v>1291</v>
      </c>
      <c r="D1430" s="539" t="s">
        <v>62</v>
      </c>
      <c r="E1430" s="498">
        <v>1</v>
      </c>
      <c r="F1430" s="540">
        <v>99.34</v>
      </c>
      <c r="G1430" s="514">
        <f>TRUNC(F1430*E1430,2)</f>
        <v>99.34</v>
      </c>
    </row>
    <row r="1431" spans="1:7" x14ac:dyDescent="0.25">
      <c r="A1431" s="788" t="s">
        <v>21</v>
      </c>
      <c r="B1431" s="789"/>
      <c r="C1431" s="789"/>
      <c r="D1431" s="789"/>
      <c r="E1431" s="789"/>
      <c r="F1431" s="789"/>
      <c r="G1431" s="511">
        <f>SUM(G1430:G1430)</f>
        <v>99.34</v>
      </c>
    </row>
    <row r="1432" spans="1:7" x14ac:dyDescent="0.25">
      <c r="A1432" s="797" t="s">
        <v>796</v>
      </c>
      <c r="B1432" s="786"/>
      <c r="C1432" s="786"/>
      <c r="D1432" s="786"/>
      <c r="E1432" s="786"/>
      <c r="F1432" s="786"/>
      <c r="G1432" s="512">
        <f>G1427+G1431</f>
        <v>103.58</v>
      </c>
    </row>
    <row r="1433" spans="1:7" x14ac:dyDescent="0.25">
      <c r="A1433" s="780"/>
      <c r="B1433" s="781"/>
      <c r="C1433" s="781"/>
      <c r="D1433" s="781"/>
      <c r="E1433" s="781"/>
      <c r="F1433" s="781"/>
      <c r="G1433" s="782"/>
    </row>
    <row r="1434" spans="1:7" x14ac:dyDescent="0.25">
      <c r="A1434" s="772" t="s">
        <v>1670</v>
      </c>
      <c r="B1434" s="773"/>
      <c r="C1434" s="773"/>
      <c r="D1434" s="773"/>
      <c r="E1434" s="773"/>
      <c r="F1434" s="773"/>
      <c r="G1434" s="774"/>
    </row>
    <row r="1435" spans="1:7" x14ac:dyDescent="0.25">
      <c r="A1435" s="772"/>
      <c r="B1435" s="773"/>
      <c r="C1435" s="773"/>
      <c r="D1435" s="773"/>
      <c r="E1435" s="773"/>
      <c r="F1435" s="773"/>
      <c r="G1435" s="774"/>
    </row>
    <row r="1436" spans="1:7" x14ac:dyDescent="0.25">
      <c r="A1436" s="780"/>
      <c r="B1436" s="781"/>
      <c r="C1436" s="781"/>
      <c r="D1436" s="781"/>
      <c r="E1436" s="781"/>
      <c r="F1436" s="781"/>
      <c r="G1436" s="782"/>
    </row>
    <row r="1437" spans="1:7" x14ac:dyDescent="0.25">
      <c r="A1437" s="790" t="s">
        <v>1502</v>
      </c>
      <c r="B1437" s="791"/>
      <c r="C1437" s="798" t="str">
        <f>C1445</f>
        <v>PARAFUSO ZINCADO, SEXTAVADO, COM ROSCA INTEIRA, DIAMETRO 5/8''</v>
      </c>
      <c r="D1437" s="798"/>
      <c r="E1437" s="798"/>
      <c r="F1437" s="798"/>
      <c r="G1437" s="799"/>
    </row>
    <row r="1438" spans="1:7" x14ac:dyDescent="0.25">
      <c r="A1438" s="780"/>
      <c r="B1438" s="781"/>
      <c r="C1438" s="781"/>
      <c r="D1438" s="781"/>
      <c r="E1438" s="781"/>
      <c r="F1438" s="781"/>
      <c r="G1438" s="782"/>
    </row>
    <row r="1439" spans="1:7" x14ac:dyDescent="0.25">
      <c r="A1439" s="507" t="s">
        <v>785</v>
      </c>
      <c r="B1439" s="485" t="s">
        <v>786</v>
      </c>
      <c r="C1439" s="489" t="s">
        <v>787</v>
      </c>
      <c r="D1439" s="490" t="s">
        <v>788</v>
      </c>
      <c r="E1439" s="491" t="s">
        <v>789</v>
      </c>
      <c r="F1439" s="492" t="s">
        <v>790</v>
      </c>
      <c r="G1439" s="509" t="s">
        <v>791</v>
      </c>
    </row>
    <row r="1440" spans="1:7" x14ac:dyDescent="0.25">
      <c r="A1440" s="545">
        <v>88247</v>
      </c>
      <c r="B1440" s="546" t="s">
        <v>792</v>
      </c>
      <c r="C1440" s="499" t="s">
        <v>806</v>
      </c>
      <c r="D1440" s="542" t="s">
        <v>799</v>
      </c>
      <c r="E1440" s="495">
        <v>0.08</v>
      </c>
      <c r="F1440" s="543">
        <v>19.2</v>
      </c>
      <c r="G1440" s="514">
        <f>TRUNC(F1440*E1440,2)</f>
        <v>1.53</v>
      </c>
    </row>
    <row r="1441" spans="1:7" x14ac:dyDescent="0.25">
      <c r="A1441" s="545">
        <v>88264</v>
      </c>
      <c r="B1441" s="546" t="s">
        <v>792</v>
      </c>
      <c r="C1441" s="499" t="s">
        <v>807</v>
      </c>
      <c r="D1441" s="542" t="s">
        <v>799</v>
      </c>
      <c r="E1441" s="495">
        <v>0.08</v>
      </c>
      <c r="F1441" s="543">
        <v>23.24</v>
      </c>
      <c r="G1441" s="514">
        <f>TRUNC(F1441*E1441,2)</f>
        <v>1.85</v>
      </c>
    </row>
    <row r="1442" spans="1:7" x14ac:dyDescent="0.25">
      <c r="A1442" s="788" t="s">
        <v>21</v>
      </c>
      <c r="B1442" s="789"/>
      <c r="C1442" s="789"/>
      <c r="D1442" s="789"/>
      <c r="E1442" s="789"/>
      <c r="F1442" s="789"/>
      <c r="G1442" s="511">
        <f>SUM(G1440:G1441)</f>
        <v>3.38</v>
      </c>
    </row>
    <row r="1443" spans="1:7" x14ac:dyDescent="0.25">
      <c r="A1443" s="780"/>
      <c r="B1443" s="781"/>
      <c r="C1443" s="781"/>
      <c r="D1443" s="781"/>
      <c r="E1443" s="781"/>
      <c r="F1443" s="781"/>
      <c r="G1443" s="782"/>
    </row>
    <row r="1444" spans="1:7" x14ac:dyDescent="0.25">
      <c r="A1444" s="507" t="s">
        <v>785</v>
      </c>
      <c r="B1444" s="485" t="s">
        <v>786</v>
      </c>
      <c r="C1444" s="489" t="s">
        <v>801</v>
      </c>
      <c r="D1444" s="490" t="s">
        <v>788</v>
      </c>
      <c r="E1444" s="496" t="s">
        <v>789</v>
      </c>
      <c r="F1444" s="492" t="s">
        <v>790</v>
      </c>
      <c r="G1444" s="509" t="s">
        <v>791</v>
      </c>
    </row>
    <row r="1445" spans="1:7" x14ac:dyDescent="0.25">
      <c r="A1445" s="545">
        <v>431</v>
      </c>
      <c r="B1445" s="546" t="s">
        <v>817</v>
      </c>
      <c r="C1445" s="499" t="s">
        <v>1293</v>
      </c>
      <c r="D1445" s="539" t="s">
        <v>62</v>
      </c>
      <c r="E1445" s="498">
        <v>1</v>
      </c>
      <c r="F1445" s="540">
        <v>11.23</v>
      </c>
      <c r="G1445" s="532">
        <f t="shared" ref="G1445" si="24">TRUNC(E1445*F1445,2)</f>
        <v>11.23</v>
      </c>
    </row>
    <row r="1446" spans="1:7" x14ac:dyDescent="0.25">
      <c r="A1446" s="545"/>
      <c r="B1446" s="816" t="s">
        <v>21</v>
      </c>
      <c r="C1446" s="816"/>
      <c r="D1446" s="816"/>
      <c r="E1446" s="816"/>
      <c r="F1446" s="816"/>
      <c r="G1446" s="532">
        <f>G1445</f>
        <v>11.23</v>
      </c>
    </row>
    <row r="1447" spans="1:7" x14ac:dyDescent="0.25">
      <c r="A1447" s="797" t="s">
        <v>796</v>
      </c>
      <c r="B1447" s="786"/>
      <c r="C1447" s="786"/>
      <c r="D1447" s="786"/>
      <c r="E1447" s="786"/>
      <c r="F1447" s="786"/>
      <c r="G1447" s="512">
        <f>G1442+G1445</f>
        <v>14.61</v>
      </c>
    </row>
    <row r="1448" spans="1:7" x14ac:dyDescent="0.25">
      <c r="A1448" s="780"/>
      <c r="B1448" s="781"/>
      <c r="C1448" s="781"/>
      <c r="D1448" s="781"/>
      <c r="E1448" s="781"/>
      <c r="F1448" s="781"/>
      <c r="G1448" s="782"/>
    </row>
    <row r="1449" spans="1:7" x14ac:dyDescent="0.25">
      <c r="A1449" s="772" t="s">
        <v>1294</v>
      </c>
      <c r="B1449" s="773"/>
      <c r="C1449" s="773"/>
      <c r="D1449" s="773"/>
      <c r="E1449" s="773"/>
      <c r="F1449" s="773"/>
      <c r="G1449" s="774"/>
    </row>
    <row r="1450" spans="1:7" x14ac:dyDescent="0.25">
      <c r="A1450" s="772"/>
      <c r="B1450" s="773"/>
      <c r="C1450" s="773"/>
      <c r="D1450" s="773"/>
      <c r="E1450" s="773"/>
      <c r="F1450" s="773"/>
      <c r="G1450" s="774"/>
    </row>
    <row r="1451" spans="1:7" x14ac:dyDescent="0.25">
      <c r="A1451" s="780"/>
      <c r="B1451" s="781"/>
      <c r="C1451" s="781"/>
      <c r="D1451" s="781"/>
      <c r="E1451" s="781"/>
      <c r="F1451" s="781"/>
      <c r="G1451" s="782"/>
    </row>
    <row r="1452" spans="1:7" x14ac:dyDescent="0.25">
      <c r="A1452" s="790" t="s">
        <v>1503</v>
      </c>
      <c r="B1452" s="791"/>
      <c r="C1452" s="798" t="str">
        <f>C1460</f>
        <v>DISJUNTOR TERMICO E MAGNETICO AJUSTAVEIS, TRIPOLAR DE 300 ATE 400A, CAPACIDADE DE INTERRUPCAO DE 35KA</v>
      </c>
      <c r="D1452" s="798"/>
      <c r="E1452" s="798"/>
      <c r="F1452" s="798"/>
      <c r="G1452" s="799"/>
    </row>
    <row r="1453" spans="1:7" x14ac:dyDescent="0.25">
      <c r="A1453" s="780"/>
      <c r="B1453" s="781"/>
      <c r="C1453" s="781"/>
      <c r="D1453" s="781"/>
      <c r="E1453" s="781"/>
      <c r="F1453" s="781"/>
      <c r="G1453" s="782"/>
    </row>
    <row r="1454" spans="1:7" x14ac:dyDescent="0.25">
      <c r="A1454" s="507" t="s">
        <v>785</v>
      </c>
      <c r="B1454" s="485" t="s">
        <v>786</v>
      </c>
      <c r="C1454" s="489" t="s">
        <v>787</v>
      </c>
      <c r="D1454" s="490" t="s">
        <v>788</v>
      </c>
      <c r="E1454" s="491" t="s">
        <v>789</v>
      </c>
      <c r="F1454" s="492" t="s">
        <v>790</v>
      </c>
      <c r="G1454" s="509" t="s">
        <v>791</v>
      </c>
    </row>
    <row r="1455" spans="1:7" x14ac:dyDescent="0.25">
      <c r="A1455" s="545">
        <v>88247</v>
      </c>
      <c r="B1455" s="546" t="s">
        <v>792</v>
      </c>
      <c r="C1455" s="499" t="s">
        <v>806</v>
      </c>
      <c r="D1455" s="542" t="s">
        <v>799</v>
      </c>
      <c r="E1455" s="495">
        <v>1.2</v>
      </c>
      <c r="F1455" s="543">
        <v>19.2</v>
      </c>
      <c r="G1455" s="514">
        <f>TRUNC(F1455*E1455,2)</f>
        <v>23.04</v>
      </c>
    </row>
    <row r="1456" spans="1:7" x14ac:dyDescent="0.25">
      <c r="A1456" s="545">
        <v>88264</v>
      </c>
      <c r="B1456" s="546" t="s">
        <v>792</v>
      </c>
      <c r="C1456" s="499" t="s">
        <v>807</v>
      </c>
      <c r="D1456" s="542" t="s">
        <v>799</v>
      </c>
      <c r="E1456" s="495">
        <v>1.2</v>
      </c>
      <c r="F1456" s="543">
        <v>23.24</v>
      </c>
      <c r="G1456" s="514">
        <f>TRUNC(F1456*E1456,2)</f>
        <v>27.88</v>
      </c>
    </row>
    <row r="1457" spans="1:7" x14ac:dyDescent="0.25">
      <c r="A1457" s="788" t="s">
        <v>21</v>
      </c>
      <c r="B1457" s="789"/>
      <c r="C1457" s="789"/>
      <c r="D1457" s="789"/>
      <c r="E1457" s="789"/>
      <c r="F1457" s="789"/>
      <c r="G1457" s="511">
        <f>SUM(G1455:G1456)</f>
        <v>50.92</v>
      </c>
    </row>
    <row r="1458" spans="1:7" x14ac:dyDescent="0.25">
      <c r="A1458" s="780"/>
      <c r="B1458" s="781"/>
      <c r="C1458" s="781"/>
      <c r="D1458" s="781"/>
      <c r="E1458" s="781"/>
      <c r="F1458" s="781"/>
      <c r="G1458" s="782"/>
    </row>
    <row r="1459" spans="1:7" x14ac:dyDescent="0.25">
      <c r="A1459" s="507" t="s">
        <v>785</v>
      </c>
      <c r="B1459" s="485" t="s">
        <v>786</v>
      </c>
      <c r="C1459" s="489" t="s">
        <v>801</v>
      </c>
      <c r="D1459" s="490" t="s">
        <v>788</v>
      </c>
      <c r="E1459" s="496" t="s">
        <v>789</v>
      </c>
      <c r="F1459" s="492" t="s">
        <v>790</v>
      </c>
      <c r="G1459" s="509" t="s">
        <v>791</v>
      </c>
    </row>
    <row r="1460" spans="1:7" ht="30" x14ac:dyDescent="0.25">
      <c r="A1460" s="545">
        <v>34734</v>
      </c>
      <c r="B1460" s="546" t="s">
        <v>817</v>
      </c>
      <c r="C1460" s="499" t="s">
        <v>1625</v>
      </c>
      <c r="D1460" s="539" t="s">
        <v>62</v>
      </c>
      <c r="E1460" s="498">
        <v>1</v>
      </c>
      <c r="F1460" s="540">
        <v>2021.97</v>
      </c>
      <c r="G1460" s="510">
        <f t="shared" ref="G1460" si="25">TRUNC(E1460*F1460,2)</f>
        <v>2021.97</v>
      </c>
    </row>
    <row r="1461" spans="1:7" x14ac:dyDescent="0.25">
      <c r="A1461" s="788" t="s">
        <v>21</v>
      </c>
      <c r="B1461" s="789"/>
      <c r="C1461" s="789"/>
      <c r="D1461" s="789"/>
      <c r="E1461" s="789"/>
      <c r="F1461" s="789"/>
      <c r="G1461" s="511">
        <f>SUM(G1460:G1460)</f>
        <v>2021.97</v>
      </c>
    </row>
    <row r="1462" spans="1:7" x14ac:dyDescent="0.25">
      <c r="A1462" s="797" t="s">
        <v>796</v>
      </c>
      <c r="B1462" s="786"/>
      <c r="C1462" s="786"/>
      <c r="D1462" s="786"/>
      <c r="E1462" s="786"/>
      <c r="F1462" s="786"/>
      <c r="G1462" s="512">
        <f>G1457+G1461</f>
        <v>2072.89</v>
      </c>
    </row>
    <row r="1463" spans="1:7" x14ac:dyDescent="0.25">
      <c r="A1463" s="780"/>
      <c r="B1463" s="781"/>
      <c r="C1463" s="781"/>
      <c r="D1463" s="781"/>
      <c r="E1463" s="781"/>
      <c r="F1463" s="781"/>
      <c r="G1463" s="782"/>
    </row>
    <row r="1464" spans="1:7" x14ac:dyDescent="0.25">
      <c r="A1464" s="772" t="s">
        <v>1367</v>
      </c>
      <c r="B1464" s="773"/>
      <c r="C1464" s="773"/>
      <c r="D1464" s="773"/>
      <c r="E1464" s="773"/>
      <c r="F1464" s="773"/>
      <c r="G1464" s="774"/>
    </row>
    <row r="1465" spans="1:7" x14ac:dyDescent="0.25">
      <c r="A1465" s="772"/>
      <c r="B1465" s="773"/>
      <c r="C1465" s="773"/>
      <c r="D1465" s="773"/>
      <c r="E1465" s="773"/>
      <c r="F1465" s="773"/>
      <c r="G1465" s="774"/>
    </row>
    <row r="1466" spans="1:7" x14ac:dyDescent="0.25">
      <c r="A1466" s="780"/>
      <c r="B1466" s="781"/>
      <c r="C1466" s="781"/>
      <c r="D1466" s="781"/>
      <c r="E1466" s="781"/>
      <c r="F1466" s="781"/>
      <c r="G1466" s="782"/>
    </row>
    <row r="1467" spans="1:7" ht="33" customHeight="1" x14ac:dyDescent="0.25">
      <c r="A1467" s="790" t="s">
        <v>1504</v>
      </c>
      <c r="B1467" s="791"/>
      <c r="C1467" s="826" t="str">
        <f>C1475</f>
        <v>CAIXA INTERNA/EXTERNA DE MEDICAO PARA 1 MEDIDOR TRIFASICO, COM VISOR, EM CHAPA ACO 18 USG (PADRAO DA CONCESSIONARIA LOCAL)</v>
      </c>
      <c r="D1467" s="826"/>
      <c r="E1467" s="826"/>
      <c r="F1467" s="826"/>
      <c r="G1467" s="827"/>
    </row>
    <row r="1468" spans="1:7" x14ac:dyDescent="0.25">
      <c r="A1468" s="780"/>
      <c r="B1468" s="781"/>
      <c r="C1468" s="781"/>
      <c r="D1468" s="781"/>
      <c r="E1468" s="781"/>
      <c r="F1468" s="781"/>
      <c r="G1468" s="782"/>
    </row>
    <row r="1469" spans="1:7" x14ac:dyDescent="0.25">
      <c r="A1469" s="507" t="s">
        <v>785</v>
      </c>
      <c r="B1469" s="485" t="s">
        <v>786</v>
      </c>
      <c r="C1469" s="489" t="s">
        <v>787</v>
      </c>
      <c r="D1469" s="490" t="s">
        <v>788</v>
      </c>
      <c r="E1469" s="491" t="s">
        <v>789</v>
      </c>
      <c r="F1469" s="492" t="s">
        <v>790</v>
      </c>
      <c r="G1469" s="509" t="s">
        <v>791</v>
      </c>
    </row>
    <row r="1470" spans="1:7" x14ac:dyDescent="0.25">
      <c r="A1470" s="545">
        <v>88264</v>
      </c>
      <c r="B1470" s="546" t="s">
        <v>792</v>
      </c>
      <c r="C1470" s="499" t="s">
        <v>807</v>
      </c>
      <c r="D1470" s="542" t="s">
        <v>799</v>
      </c>
      <c r="E1470" s="495">
        <v>8</v>
      </c>
      <c r="F1470" s="543">
        <v>23.24</v>
      </c>
      <c r="G1470" s="514">
        <f>TRUNC(F1470*E1470,2)</f>
        <v>185.92</v>
      </c>
    </row>
    <row r="1471" spans="1:7" x14ac:dyDescent="0.25">
      <c r="A1471" s="545">
        <v>88316</v>
      </c>
      <c r="B1471" s="546" t="s">
        <v>792</v>
      </c>
      <c r="C1471" s="499" t="s">
        <v>1368</v>
      </c>
      <c r="D1471" s="542" t="s">
        <v>799</v>
      </c>
      <c r="E1471" s="495">
        <v>8</v>
      </c>
      <c r="F1471" s="543">
        <v>17.82</v>
      </c>
      <c r="G1471" s="514">
        <f>TRUNC(F1471*E1471,2)</f>
        <v>142.56</v>
      </c>
    </row>
    <row r="1472" spans="1:7" x14ac:dyDescent="0.25">
      <c r="A1472" s="788" t="s">
        <v>21</v>
      </c>
      <c r="B1472" s="789"/>
      <c r="C1472" s="789"/>
      <c r="D1472" s="789"/>
      <c r="E1472" s="789"/>
      <c r="F1472" s="789"/>
      <c r="G1472" s="511">
        <f>SUM(G1470:G1471)</f>
        <v>328.48</v>
      </c>
    </row>
    <row r="1473" spans="1:7" x14ac:dyDescent="0.25">
      <c r="A1473" s="780"/>
      <c r="B1473" s="781"/>
      <c r="C1473" s="781"/>
      <c r="D1473" s="781"/>
      <c r="E1473" s="781"/>
      <c r="F1473" s="781"/>
      <c r="G1473" s="782"/>
    </row>
    <row r="1474" spans="1:7" x14ac:dyDescent="0.25">
      <c r="A1474" s="507" t="s">
        <v>785</v>
      </c>
      <c r="B1474" s="485" t="s">
        <v>786</v>
      </c>
      <c r="C1474" s="489" t="s">
        <v>801</v>
      </c>
      <c r="D1474" s="490" t="s">
        <v>788</v>
      </c>
      <c r="E1474" s="496" t="s">
        <v>789</v>
      </c>
      <c r="F1474" s="492" t="s">
        <v>790</v>
      </c>
      <c r="G1474" s="509" t="s">
        <v>791</v>
      </c>
    </row>
    <row r="1475" spans="1:7" ht="30" x14ac:dyDescent="0.25">
      <c r="A1475" s="545">
        <v>1062</v>
      </c>
      <c r="B1475" s="546" t="s">
        <v>817</v>
      </c>
      <c r="C1475" s="499" t="s">
        <v>1626</v>
      </c>
      <c r="D1475" s="539" t="s">
        <v>62</v>
      </c>
      <c r="E1475" s="498">
        <v>1</v>
      </c>
      <c r="F1475" s="540">
        <v>406.97</v>
      </c>
      <c r="G1475" s="510">
        <f t="shared" ref="G1475" si="26">TRUNC(E1475*F1475,2)</f>
        <v>406.97</v>
      </c>
    </row>
    <row r="1476" spans="1:7" x14ac:dyDescent="0.25">
      <c r="A1476" s="788" t="s">
        <v>21</v>
      </c>
      <c r="B1476" s="789"/>
      <c r="C1476" s="789"/>
      <c r="D1476" s="789"/>
      <c r="E1476" s="789"/>
      <c r="F1476" s="789"/>
      <c r="G1476" s="511">
        <f>SUM(G1475:G1475)</f>
        <v>406.97</v>
      </c>
    </row>
    <row r="1477" spans="1:7" x14ac:dyDescent="0.25">
      <c r="A1477" s="797" t="s">
        <v>796</v>
      </c>
      <c r="B1477" s="786"/>
      <c r="C1477" s="786"/>
      <c r="D1477" s="786"/>
      <c r="E1477" s="786"/>
      <c r="F1477" s="786"/>
      <c r="G1477" s="512">
        <f>G1472+G1476</f>
        <v>735.45</v>
      </c>
    </row>
    <row r="1478" spans="1:7" x14ac:dyDescent="0.25">
      <c r="A1478" s="780"/>
      <c r="B1478" s="781"/>
      <c r="C1478" s="781"/>
      <c r="D1478" s="781"/>
      <c r="E1478" s="781"/>
      <c r="F1478" s="781"/>
      <c r="G1478" s="782"/>
    </row>
    <row r="1479" spans="1:7" x14ac:dyDescent="0.25">
      <c r="A1479" s="772" t="s">
        <v>1369</v>
      </c>
      <c r="B1479" s="773"/>
      <c r="C1479" s="773"/>
      <c r="D1479" s="773"/>
      <c r="E1479" s="773"/>
      <c r="F1479" s="773"/>
      <c r="G1479" s="774"/>
    </row>
    <row r="1480" spans="1:7" x14ac:dyDescent="0.25">
      <c r="A1480" s="772"/>
      <c r="B1480" s="773"/>
      <c r="C1480" s="773"/>
      <c r="D1480" s="773"/>
      <c r="E1480" s="773"/>
      <c r="F1480" s="773"/>
      <c r="G1480" s="774"/>
    </row>
    <row r="1481" spans="1:7" x14ac:dyDescent="0.25">
      <c r="A1481" s="780"/>
      <c r="B1481" s="781"/>
      <c r="C1481" s="781"/>
      <c r="D1481" s="781"/>
      <c r="E1481" s="781"/>
      <c r="F1481" s="781"/>
      <c r="G1481" s="782"/>
    </row>
    <row r="1482" spans="1:7" ht="30" customHeight="1" x14ac:dyDescent="0.25">
      <c r="A1482" s="790" t="s">
        <v>1505</v>
      </c>
      <c r="B1482" s="791"/>
      <c r="C1482" s="826" t="str">
        <f>C1490</f>
        <v>CAIXA DE PROTECAO EXTERNA PARA MEDIDOR HOROSAZONAL, DE BAIXA TENSAO, COM MODULO, EM CHAPA DE ACO (PADRAO DA CONCESSIONARIA LOCAL)</v>
      </c>
      <c r="D1482" s="826"/>
      <c r="E1482" s="826"/>
      <c r="F1482" s="826"/>
      <c r="G1482" s="827"/>
    </row>
    <row r="1483" spans="1:7" x14ac:dyDescent="0.25">
      <c r="A1483" s="780"/>
      <c r="B1483" s="781"/>
      <c r="C1483" s="781"/>
      <c r="D1483" s="781"/>
      <c r="E1483" s="781"/>
      <c r="F1483" s="781"/>
      <c r="G1483" s="782"/>
    </row>
    <row r="1484" spans="1:7" x14ac:dyDescent="0.25">
      <c r="A1484" s="507" t="s">
        <v>785</v>
      </c>
      <c r="B1484" s="485" t="s">
        <v>786</v>
      </c>
      <c r="C1484" s="489" t="s">
        <v>787</v>
      </c>
      <c r="D1484" s="490" t="s">
        <v>788</v>
      </c>
      <c r="E1484" s="491" t="s">
        <v>789</v>
      </c>
      <c r="F1484" s="492" t="s">
        <v>790</v>
      </c>
      <c r="G1484" s="509" t="s">
        <v>791</v>
      </c>
    </row>
    <row r="1485" spans="1:7" x14ac:dyDescent="0.25">
      <c r="A1485" s="545">
        <v>88264</v>
      </c>
      <c r="B1485" s="546" t="s">
        <v>792</v>
      </c>
      <c r="C1485" s="499" t="s">
        <v>807</v>
      </c>
      <c r="D1485" s="542" t="s">
        <v>799</v>
      </c>
      <c r="E1485" s="495">
        <v>8</v>
      </c>
      <c r="F1485" s="543">
        <v>23.24</v>
      </c>
      <c r="G1485" s="514">
        <f>TRUNC(F1485*E1485,2)</f>
        <v>185.92</v>
      </c>
    </row>
    <row r="1486" spans="1:7" x14ac:dyDescent="0.25">
      <c r="A1486" s="545">
        <v>88316</v>
      </c>
      <c r="B1486" s="546" t="s">
        <v>792</v>
      </c>
      <c r="C1486" s="499" t="s">
        <v>1368</v>
      </c>
      <c r="D1486" s="542" t="s">
        <v>799</v>
      </c>
      <c r="E1486" s="495">
        <v>8</v>
      </c>
      <c r="F1486" s="543">
        <v>17.82</v>
      </c>
      <c r="G1486" s="514">
        <f>TRUNC(F1486*E1486,2)</f>
        <v>142.56</v>
      </c>
    </row>
    <row r="1487" spans="1:7" x14ac:dyDescent="0.25">
      <c r="A1487" s="788" t="s">
        <v>21</v>
      </c>
      <c r="B1487" s="789"/>
      <c r="C1487" s="789"/>
      <c r="D1487" s="789"/>
      <c r="E1487" s="789"/>
      <c r="F1487" s="789"/>
      <c r="G1487" s="511">
        <f>SUM(G1485:G1486)</f>
        <v>328.48</v>
      </c>
    </row>
    <row r="1488" spans="1:7" x14ac:dyDescent="0.25">
      <c r="A1488" s="780"/>
      <c r="B1488" s="781"/>
      <c r="C1488" s="781"/>
      <c r="D1488" s="781"/>
      <c r="E1488" s="781"/>
      <c r="F1488" s="781"/>
      <c r="G1488" s="782"/>
    </row>
    <row r="1489" spans="1:7" x14ac:dyDescent="0.25">
      <c r="A1489" s="507" t="s">
        <v>785</v>
      </c>
      <c r="B1489" s="485" t="s">
        <v>786</v>
      </c>
      <c r="C1489" s="489" t="s">
        <v>801</v>
      </c>
      <c r="D1489" s="490" t="s">
        <v>788</v>
      </c>
      <c r="E1489" s="496" t="s">
        <v>789</v>
      </c>
      <c r="F1489" s="492" t="s">
        <v>790</v>
      </c>
      <c r="G1489" s="509" t="s">
        <v>791</v>
      </c>
    </row>
    <row r="1490" spans="1:7" ht="30" x14ac:dyDescent="0.25">
      <c r="A1490" s="545">
        <v>39693</v>
      </c>
      <c r="B1490" s="546" t="s">
        <v>817</v>
      </c>
      <c r="C1490" s="499" t="s">
        <v>1627</v>
      </c>
      <c r="D1490" s="539" t="s">
        <v>62</v>
      </c>
      <c r="E1490" s="498">
        <v>1</v>
      </c>
      <c r="F1490" s="540">
        <v>4013.24</v>
      </c>
      <c r="G1490" s="510">
        <f t="shared" ref="G1490" si="27">TRUNC(E1490*F1490,2)</f>
        <v>4013.24</v>
      </c>
    </row>
    <row r="1491" spans="1:7" x14ac:dyDescent="0.25">
      <c r="A1491" s="788" t="s">
        <v>21</v>
      </c>
      <c r="B1491" s="789"/>
      <c r="C1491" s="789"/>
      <c r="D1491" s="789"/>
      <c r="E1491" s="789"/>
      <c r="F1491" s="789"/>
      <c r="G1491" s="511">
        <f>SUM(G1490:G1490)</f>
        <v>4013.24</v>
      </c>
    </row>
    <row r="1492" spans="1:7" x14ac:dyDescent="0.25">
      <c r="A1492" s="797" t="s">
        <v>796</v>
      </c>
      <c r="B1492" s="786"/>
      <c r="C1492" s="786"/>
      <c r="D1492" s="786"/>
      <c r="E1492" s="786"/>
      <c r="F1492" s="786"/>
      <c r="G1492" s="512">
        <f>G1487+G1491</f>
        <v>4341.7199999999993</v>
      </c>
    </row>
    <row r="1493" spans="1:7" x14ac:dyDescent="0.25">
      <c r="A1493" s="780"/>
      <c r="B1493" s="781"/>
      <c r="C1493" s="781"/>
      <c r="D1493" s="781"/>
      <c r="E1493" s="781"/>
      <c r="F1493" s="781"/>
      <c r="G1493" s="782"/>
    </row>
    <row r="1494" spans="1:7" ht="15" customHeight="1" x14ac:dyDescent="0.25">
      <c r="A1494" s="772" t="s">
        <v>1373</v>
      </c>
      <c r="B1494" s="773"/>
      <c r="C1494" s="773"/>
      <c r="D1494" s="773"/>
      <c r="E1494" s="773"/>
      <c r="F1494" s="773"/>
      <c r="G1494" s="774"/>
    </row>
    <row r="1495" spans="1:7" x14ac:dyDescent="0.25">
      <c r="A1495" s="772"/>
      <c r="B1495" s="773"/>
      <c r="C1495" s="773"/>
      <c r="D1495" s="773"/>
      <c r="E1495" s="773"/>
      <c r="F1495" s="773"/>
      <c r="G1495" s="774"/>
    </row>
    <row r="1496" spans="1:7" x14ac:dyDescent="0.25">
      <c r="A1496" s="780"/>
      <c r="B1496" s="781"/>
      <c r="C1496" s="781"/>
      <c r="D1496" s="781"/>
      <c r="E1496" s="781"/>
      <c r="F1496" s="781"/>
      <c r="G1496" s="782"/>
    </row>
    <row r="1497" spans="1:7" x14ac:dyDescent="0.25">
      <c r="A1497" s="790" t="s">
        <v>1506</v>
      </c>
      <c r="B1497" s="791"/>
      <c r="C1497" s="826" t="str">
        <f>C1505</f>
        <v>CAIXA DE PROTECAO PARA TRANSFORMADOR CORRENTE, EM CHAPA DE ACO 18 USG (PADRAO DA CONCESSIONARIA LOCAL)</v>
      </c>
      <c r="D1497" s="826"/>
      <c r="E1497" s="826"/>
      <c r="F1497" s="826"/>
      <c r="G1497" s="827"/>
    </row>
    <row r="1498" spans="1:7" x14ac:dyDescent="0.25">
      <c r="A1498" s="780"/>
      <c r="B1498" s="781"/>
      <c r="C1498" s="781"/>
      <c r="D1498" s="781"/>
      <c r="E1498" s="781"/>
      <c r="F1498" s="781"/>
      <c r="G1498" s="782"/>
    </row>
    <row r="1499" spans="1:7" x14ac:dyDescent="0.25">
      <c r="A1499" s="507" t="s">
        <v>785</v>
      </c>
      <c r="B1499" s="485" t="s">
        <v>786</v>
      </c>
      <c r="C1499" s="489" t="s">
        <v>787</v>
      </c>
      <c r="D1499" s="490" t="s">
        <v>788</v>
      </c>
      <c r="E1499" s="491" t="s">
        <v>789</v>
      </c>
      <c r="F1499" s="492" t="s">
        <v>790</v>
      </c>
      <c r="G1499" s="509" t="s">
        <v>791</v>
      </c>
    </row>
    <row r="1500" spans="1:7" x14ac:dyDescent="0.25">
      <c r="A1500" s="545">
        <v>88264</v>
      </c>
      <c r="B1500" s="546" t="s">
        <v>792</v>
      </c>
      <c r="C1500" s="499" t="s">
        <v>807</v>
      </c>
      <c r="D1500" s="542" t="s">
        <v>799</v>
      </c>
      <c r="E1500" s="495">
        <v>8</v>
      </c>
      <c r="F1500" s="543">
        <v>23.24</v>
      </c>
      <c r="G1500" s="514">
        <f>TRUNC(F1500*E1500,2)</f>
        <v>185.92</v>
      </c>
    </row>
    <row r="1501" spans="1:7" x14ac:dyDescent="0.25">
      <c r="A1501" s="545">
        <v>88316</v>
      </c>
      <c r="B1501" s="546" t="s">
        <v>792</v>
      </c>
      <c r="C1501" s="499" t="s">
        <v>1368</v>
      </c>
      <c r="D1501" s="542" t="s">
        <v>799</v>
      </c>
      <c r="E1501" s="495">
        <v>8</v>
      </c>
      <c r="F1501" s="543">
        <v>17.82</v>
      </c>
      <c r="G1501" s="514">
        <f>TRUNC(F1501*E1501,2)</f>
        <v>142.56</v>
      </c>
    </row>
    <row r="1502" spans="1:7" x14ac:dyDescent="0.25">
      <c r="A1502" s="788" t="s">
        <v>21</v>
      </c>
      <c r="B1502" s="789"/>
      <c r="C1502" s="789"/>
      <c r="D1502" s="789"/>
      <c r="E1502" s="789"/>
      <c r="F1502" s="789"/>
      <c r="G1502" s="511">
        <f>SUM(G1500:G1501)</f>
        <v>328.48</v>
      </c>
    </row>
    <row r="1503" spans="1:7" x14ac:dyDescent="0.25">
      <c r="A1503" s="780"/>
      <c r="B1503" s="781"/>
      <c r="C1503" s="781"/>
      <c r="D1503" s="781"/>
      <c r="E1503" s="781"/>
      <c r="F1503" s="781"/>
      <c r="G1503" s="782"/>
    </row>
    <row r="1504" spans="1:7" x14ac:dyDescent="0.25">
      <c r="A1504" s="507" t="s">
        <v>785</v>
      </c>
      <c r="B1504" s="485" t="s">
        <v>786</v>
      </c>
      <c r="C1504" s="489" t="s">
        <v>801</v>
      </c>
      <c r="D1504" s="490" t="s">
        <v>788</v>
      </c>
      <c r="E1504" s="496" t="s">
        <v>789</v>
      </c>
      <c r="F1504" s="492" t="s">
        <v>790</v>
      </c>
      <c r="G1504" s="509" t="s">
        <v>791</v>
      </c>
    </row>
    <row r="1505" spans="1:7" ht="30" x14ac:dyDescent="0.25">
      <c r="A1505" s="545">
        <v>39692</v>
      </c>
      <c r="B1505" s="546" t="s">
        <v>817</v>
      </c>
      <c r="C1505" s="499" t="s">
        <v>1628</v>
      </c>
      <c r="D1505" s="539" t="s">
        <v>62</v>
      </c>
      <c r="E1505" s="498">
        <v>1</v>
      </c>
      <c r="F1505" s="540">
        <v>1284.1500000000001</v>
      </c>
      <c r="G1505" s="510">
        <f t="shared" ref="G1505" si="28">TRUNC(E1505*F1505,2)</f>
        <v>1284.1500000000001</v>
      </c>
    </row>
    <row r="1506" spans="1:7" x14ac:dyDescent="0.25">
      <c r="A1506" s="788" t="s">
        <v>21</v>
      </c>
      <c r="B1506" s="789"/>
      <c r="C1506" s="789"/>
      <c r="D1506" s="789"/>
      <c r="E1506" s="789"/>
      <c r="F1506" s="789"/>
      <c r="G1506" s="511">
        <f>SUM(G1505:G1505)</f>
        <v>1284.1500000000001</v>
      </c>
    </row>
    <row r="1507" spans="1:7" x14ac:dyDescent="0.25">
      <c r="A1507" s="848" t="s">
        <v>796</v>
      </c>
      <c r="B1507" s="816"/>
      <c r="C1507" s="816"/>
      <c r="D1507" s="816"/>
      <c r="E1507" s="816"/>
      <c r="F1507" s="816"/>
      <c r="G1507" s="512">
        <f>G1502+G1506</f>
        <v>1612.63</v>
      </c>
    </row>
    <row r="1508" spans="1:7" x14ac:dyDescent="0.25">
      <c r="A1508" s="780"/>
      <c r="B1508" s="781"/>
      <c r="C1508" s="781"/>
      <c r="D1508" s="781"/>
      <c r="E1508" s="781"/>
      <c r="F1508" s="781"/>
      <c r="G1508" s="782"/>
    </row>
    <row r="1509" spans="1:7" x14ac:dyDescent="0.25">
      <c r="A1509" s="772" t="s">
        <v>1370</v>
      </c>
      <c r="B1509" s="773"/>
      <c r="C1509" s="773"/>
      <c r="D1509" s="773"/>
      <c r="E1509" s="773"/>
      <c r="F1509" s="773"/>
      <c r="G1509" s="774"/>
    </row>
    <row r="1510" spans="1:7" x14ac:dyDescent="0.25">
      <c r="A1510" s="772"/>
      <c r="B1510" s="773"/>
      <c r="C1510" s="773"/>
      <c r="D1510" s="773"/>
      <c r="E1510" s="773"/>
      <c r="F1510" s="773"/>
      <c r="G1510" s="774"/>
    </row>
    <row r="1511" spans="1:7" x14ac:dyDescent="0.25">
      <c r="A1511" s="780"/>
      <c r="B1511" s="781"/>
      <c r="C1511" s="781"/>
      <c r="D1511" s="781"/>
      <c r="E1511" s="781"/>
      <c r="F1511" s="781"/>
      <c r="G1511" s="782"/>
    </row>
    <row r="1512" spans="1:7" x14ac:dyDescent="0.25">
      <c r="A1512" s="790" t="s">
        <v>1507</v>
      </c>
      <c r="B1512" s="791"/>
      <c r="C1512" s="798" t="str">
        <f>B1524</f>
        <v>CAIXA PARA DISJUNTOR SEM BARRAMENTO (PADRÃO CONCESSIONÁRIA LOCAL)</v>
      </c>
      <c r="D1512" s="798"/>
      <c r="E1512" s="798"/>
      <c r="F1512" s="798"/>
      <c r="G1512" s="799"/>
    </row>
    <row r="1513" spans="1:7" x14ac:dyDescent="0.25">
      <c r="A1513" s="780"/>
      <c r="B1513" s="781"/>
      <c r="C1513" s="781"/>
      <c r="D1513" s="781"/>
      <c r="E1513" s="781"/>
      <c r="F1513" s="781"/>
      <c r="G1513" s="782"/>
    </row>
    <row r="1514" spans="1:7" x14ac:dyDescent="0.25">
      <c r="A1514" s="507" t="s">
        <v>785</v>
      </c>
      <c r="B1514" s="485" t="s">
        <v>786</v>
      </c>
      <c r="C1514" s="489" t="s">
        <v>787</v>
      </c>
      <c r="D1514" s="490" t="s">
        <v>788</v>
      </c>
      <c r="E1514" s="491" t="s">
        <v>789</v>
      </c>
      <c r="F1514" s="492" t="s">
        <v>790</v>
      </c>
      <c r="G1514" s="509" t="s">
        <v>791</v>
      </c>
    </row>
    <row r="1515" spans="1:7" x14ac:dyDescent="0.25">
      <c r="A1515" s="545">
        <v>88316</v>
      </c>
      <c r="B1515" s="546" t="s">
        <v>792</v>
      </c>
      <c r="C1515" s="499" t="s">
        <v>1368</v>
      </c>
      <c r="D1515" s="542" t="s">
        <v>799</v>
      </c>
      <c r="E1515" s="495">
        <v>8</v>
      </c>
      <c r="F1515" s="543">
        <v>17.82</v>
      </c>
      <c r="G1515" s="514">
        <f>TRUNC(F1515*E1515,2)</f>
        <v>142.56</v>
      </c>
    </row>
    <row r="1516" spans="1:7" x14ac:dyDescent="0.25">
      <c r="A1516" s="545">
        <v>88264</v>
      </c>
      <c r="B1516" s="546" t="s">
        <v>792</v>
      </c>
      <c r="C1516" s="499" t="s">
        <v>807</v>
      </c>
      <c r="D1516" s="542" t="s">
        <v>799</v>
      </c>
      <c r="E1516" s="495">
        <v>8</v>
      </c>
      <c r="F1516" s="543">
        <v>23.24</v>
      </c>
      <c r="G1516" s="514">
        <f>TRUNC(F1516*E1516,2)</f>
        <v>185.92</v>
      </c>
    </row>
    <row r="1517" spans="1:7" x14ac:dyDescent="0.25">
      <c r="A1517" s="788" t="s">
        <v>21</v>
      </c>
      <c r="B1517" s="789"/>
      <c r="C1517" s="789"/>
      <c r="D1517" s="789"/>
      <c r="E1517" s="789"/>
      <c r="F1517" s="789"/>
      <c r="G1517" s="511">
        <f>SUM(G1515:G1516)</f>
        <v>328.48</v>
      </c>
    </row>
    <row r="1518" spans="1:7" x14ac:dyDescent="0.25">
      <c r="A1518" s="780"/>
      <c r="B1518" s="781"/>
      <c r="C1518" s="781"/>
      <c r="D1518" s="781"/>
      <c r="E1518" s="781"/>
      <c r="F1518" s="781"/>
      <c r="G1518" s="782"/>
    </row>
    <row r="1519" spans="1:7" x14ac:dyDescent="0.25">
      <c r="A1519" s="507" t="s">
        <v>785</v>
      </c>
      <c r="B1519" s="485" t="s">
        <v>786</v>
      </c>
      <c r="C1519" s="489" t="s">
        <v>801</v>
      </c>
      <c r="D1519" s="490" t="s">
        <v>788</v>
      </c>
      <c r="E1519" s="496" t="s">
        <v>789</v>
      </c>
      <c r="F1519" s="492" t="s">
        <v>790</v>
      </c>
      <c r="G1519" s="509" t="s">
        <v>791</v>
      </c>
    </row>
    <row r="1520" spans="1:7" x14ac:dyDescent="0.25">
      <c r="A1520" s="515" t="s">
        <v>815</v>
      </c>
      <c r="B1520" s="546" t="s">
        <v>808</v>
      </c>
      <c r="C1520" s="501" t="str">
        <f>B1524</f>
        <v>CAIXA PARA DISJUNTOR SEM BARRAMENTO (PADRÃO CONCESSIONÁRIA LOCAL)</v>
      </c>
      <c r="D1520" s="539" t="s">
        <v>62</v>
      </c>
      <c r="E1520" s="498">
        <v>1</v>
      </c>
      <c r="F1520" s="540">
        <f>D1529</f>
        <v>861.27</v>
      </c>
      <c r="G1520" s="514">
        <f>TRUNC(F1520*E1520,2)</f>
        <v>861.27</v>
      </c>
    </row>
    <row r="1521" spans="1:7" x14ac:dyDescent="0.25">
      <c r="A1521" s="788" t="s">
        <v>21</v>
      </c>
      <c r="B1521" s="789"/>
      <c r="C1521" s="789"/>
      <c r="D1521" s="789"/>
      <c r="E1521" s="789"/>
      <c r="F1521" s="789"/>
      <c r="G1521" s="511">
        <f>SUM(G1520:G1520)</f>
        <v>861.27</v>
      </c>
    </row>
    <row r="1522" spans="1:7" x14ac:dyDescent="0.25">
      <c r="A1522" s="797" t="s">
        <v>796</v>
      </c>
      <c r="B1522" s="786"/>
      <c r="C1522" s="786"/>
      <c r="D1522" s="786"/>
      <c r="E1522" s="786"/>
      <c r="F1522" s="786"/>
      <c r="G1522" s="512">
        <f>G1517+G1521</f>
        <v>1189.75</v>
      </c>
    </row>
    <row r="1523" spans="1:7" x14ac:dyDescent="0.25">
      <c r="A1523" s="780"/>
      <c r="B1523" s="781"/>
      <c r="C1523" s="781"/>
      <c r="D1523" s="781"/>
      <c r="E1523" s="781"/>
      <c r="F1523" s="781"/>
      <c r="G1523" s="782"/>
    </row>
    <row r="1524" spans="1:7" ht="15" customHeight="1" x14ac:dyDescent="0.25">
      <c r="A1524" s="544" t="s">
        <v>809</v>
      </c>
      <c r="B1524" s="802" t="s">
        <v>1372</v>
      </c>
      <c r="C1524" s="802"/>
      <c r="D1524" s="802"/>
      <c r="E1524" s="802"/>
      <c r="F1524" s="802"/>
      <c r="G1524" s="809"/>
    </row>
    <row r="1525" spans="1:7" x14ac:dyDescent="0.25">
      <c r="A1525" s="545"/>
      <c r="B1525" s="728" t="s">
        <v>1247</v>
      </c>
      <c r="C1525" s="728"/>
      <c r="D1525" s="784" t="s">
        <v>810</v>
      </c>
      <c r="E1525" s="784"/>
      <c r="F1525" s="541" t="s">
        <v>811</v>
      </c>
      <c r="G1525" s="516" t="s">
        <v>1183</v>
      </c>
    </row>
    <row r="1526" spans="1:7" x14ac:dyDescent="0.25">
      <c r="A1526" s="517">
        <v>44315</v>
      </c>
      <c r="B1526" s="775" t="s">
        <v>1246</v>
      </c>
      <c r="C1526" s="775"/>
      <c r="D1526" s="776">
        <v>861.27</v>
      </c>
      <c r="E1526" s="776"/>
      <c r="F1526" s="542" t="s">
        <v>1208</v>
      </c>
      <c r="G1526" s="518"/>
    </row>
    <row r="1527" spans="1:7" x14ac:dyDescent="0.25">
      <c r="A1527" s="517">
        <v>44771</v>
      </c>
      <c r="B1527" s="775" t="s">
        <v>1249</v>
      </c>
      <c r="C1527" s="775"/>
      <c r="D1527" s="776">
        <v>941.16</v>
      </c>
      <c r="E1527" s="776"/>
      <c r="F1527" s="542" t="s">
        <v>1209</v>
      </c>
      <c r="G1527" s="518"/>
    </row>
    <row r="1528" spans="1:7" x14ac:dyDescent="0.25">
      <c r="A1528" s="517">
        <v>44771</v>
      </c>
      <c r="B1528" s="775" t="s">
        <v>1250</v>
      </c>
      <c r="C1528" s="775"/>
      <c r="D1528" s="776">
        <v>803.01</v>
      </c>
      <c r="E1528" s="776"/>
      <c r="F1528" s="542" t="s">
        <v>1212</v>
      </c>
      <c r="G1528" s="518"/>
    </row>
    <row r="1529" spans="1:7" x14ac:dyDescent="0.25">
      <c r="A1529" s="545"/>
      <c r="B1529" s="777" t="s">
        <v>812</v>
      </c>
      <c r="C1529" s="777"/>
      <c r="D1529" s="846">
        <f>MEDIAN(D1526:E1528)</f>
        <v>861.27</v>
      </c>
      <c r="E1529" s="846"/>
      <c r="F1529" s="846"/>
      <c r="G1529" s="847"/>
    </row>
    <row r="1530" spans="1:7" x14ac:dyDescent="0.25">
      <c r="A1530" s="780"/>
      <c r="B1530" s="781"/>
      <c r="C1530" s="781"/>
      <c r="D1530" s="781"/>
      <c r="E1530" s="781"/>
      <c r="F1530" s="781"/>
      <c r="G1530" s="782"/>
    </row>
    <row r="1531" spans="1:7" ht="15" customHeight="1" x14ac:dyDescent="0.25">
      <c r="A1531" s="778" t="s">
        <v>1374</v>
      </c>
      <c r="B1531" s="722"/>
      <c r="C1531" s="722"/>
      <c r="D1531" s="722"/>
      <c r="E1531" s="722"/>
      <c r="F1531" s="722"/>
      <c r="G1531" s="779"/>
    </row>
    <row r="1532" spans="1:7" ht="33" customHeight="1" x14ac:dyDescent="0.25">
      <c r="A1532" s="778"/>
      <c r="B1532" s="722"/>
      <c r="C1532" s="722"/>
      <c r="D1532" s="722"/>
      <c r="E1532" s="722"/>
      <c r="F1532" s="722"/>
      <c r="G1532" s="779"/>
    </row>
    <row r="1533" spans="1:7" x14ac:dyDescent="0.25">
      <c r="A1533" s="780"/>
      <c r="B1533" s="781"/>
      <c r="C1533" s="781"/>
      <c r="D1533" s="781"/>
      <c r="E1533" s="781"/>
      <c r="F1533" s="781"/>
      <c r="G1533" s="782"/>
    </row>
    <row r="1534" spans="1:7" x14ac:dyDescent="0.25">
      <c r="A1534" s="790" t="s">
        <v>1508</v>
      </c>
      <c r="B1534" s="791"/>
      <c r="C1534" s="798" t="s">
        <v>1401</v>
      </c>
      <c r="D1534" s="798"/>
      <c r="E1534" s="798"/>
      <c r="F1534" s="798"/>
      <c r="G1534" s="799"/>
    </row>
    <row r="1535" spans="1:7" x14ac:dyDescent="0.25">
      <c r="A1535" s="780"/>
      <c r="B1535" s="781"/>
      <c r="C1535" s="781"/>
      <c r="D1535" s="781"/>
      <c r="E1535" s="781"/>
      <c r="F1535" s="781"/>
      <c r="G1535" s="782"/>
    </row>
    <row r="1536" spans="1:7" x14ac:dyDescent="0.25">
      <c r="A1536" s="507" t="s">
        <v>785</v>
      </c>
      <c r="B1536" s="485" t="s">
        <v>786</v>
      </c>
      <c r="C1536" s="489" t="s">
        <v>787</v>
      </c>
      <c r="D1536" s="490" t="s">
        <v>788</v>
      </c>
      <c r="E1536" s="491" t="s">
        <v>789</v>
      </c>
      <c r="F1536" s="492" t="s">
        <v>790</v>
      </c>
      <c r="G1536" s="509" t="s">
        <v>791</v>
      </c>
    </row>
    <row r="1537" spans="1:7" ht="45" x14ac:dyDescent="0.25">
      <c r="A1537" s="545">
        <v>100579</v>
      </c>
      <c r="B1537" s="546" t="s">
        <v>792</v>
      </c>
      <c r="C1537" s="499" t="s">
        <v>1402</v>
      </c>
      <c r="D1537" s="542" t="s">
        <v>62</v>
      </c>
      <c r="E1537" s="495">
        <v>1</v>
      </c>
      <c r="F1537" s="503">
        <v>500.55</v>
      </c>
      <c r="G1537" s="522">
        <f>TRUNC(E1537*F1537,2)</f>
        <v>500.55</v>
      </c>
    </row>
    <row r="1538" spans="1:7" x14ac:dyDescent="0.25">
      <c r="A1538" s="788" t="s">
        <v>21</v>
      </c>
      <c r="B1538" s="789"/>
      <c r="C1538" s="789"/>
      <c r="D1538" s="789"/>
      <c r="E1538" s="789"/>
      <c r="F1538" s="789"/>
      <c r="G1538" s="511">
        <f>SUM(G1537:G1537)</f>
        <v>500.55</v>
      </c>
    </row>
    <row r="1539" spans="1:7" x14ac:dyDescent="0.25">
      <c r="A1539" s="780"/>
      <c r="B1539" s="781"/>
      <c r="C1539" s="781"/>
      <c r="D1539" s="781"/>
      <c r="E1539" s="781"/>
      <c r="F1539" s="781"/>
      <c r="G1539" s="782"/>
    </row>
    <row r="1540" spans="1:7" x14ac:dyDescent="0.25">
      <c r="A1540" s="507" t="s">
        <v>785</v>
      </c>
      <c r="B1540" s="485" t="s">
        <v>786</v>
      </c>
      <c r="C1540" s="489" t="s">
        <v>801</v>
      </c>
      <c r="D1540" s="490" t="s">
        <v>788</v>
      </c>
      <c r="E1540" s="496" t="s">
        <v>789</v>
      </c>
      <c r="F1540" s="492" t="s">
        <v>790</v>
      </c>
      <c r="G1540" s="509" t="s">
        <v>791</v>
      </c>
    </row>
    <row r="1541" spans="1:7" ht="30" x14ac:dyDescent="0.25">
      <c r="A1541" s="515">
        <v>5057</v>
      </c>
      <c r="B1541" s="497" t="s">
        <v>792</v>
      </c>
      <c r="C1541" s="501" t="s">
        <v>1629</v>
      </c>
      <c r="D1541" s="539" t="s">
        <v>62</v>
      </c>
      <c r="E1541" s="498">
        <v>1</v>
      </c>
      <c r="F1541" s="540">
        <v>1022.73</v>
      </c>
      <c r="G1541" s="514">
        <f>TRUNC(F1541*E1541,2)</f>
        <v>1022.73</v>
      </c>
    </row>
    <row r="1542" spans="1:7" x14ac:dyDescent="0.25">
      <c r="A1542" s="788" t="s">
        <v>21</v>
      </c>
      <c r="B1542" s="789"/>
      <c r="C1542" s="789"/>
      <c r="D1542" s="789"/>
      <c r="E1542" s="789"/>
      <c r="F1542" s="789"/>
      <c r="G1542" s="511">
        <f>SUM(G1541:G1541)</f>
        <v>1022.73</v>
      </c>
    </row>
    <row r="1543" spans="1:7" x14ac:dyDescent="0.25">
      <c r="A1543" s="797" t="s">
        <v>796</v>
      </c>
      <c r="B1543" s="786"/>
      <c r="C1543" s="786"/>
      <c r="D1543" s="786"/>
      <c r="E1543" s="786"/>
      <c r="F1543" s="786"/>
      <c r="G1543" s="512">
        <f>G1538+G1542</f>
        <v>1523.28</v>
      </c>
    </row>
    <row r="1544" spans="1:7" x14ac:dyDescent="0.25">
      <c r="A1544" s="794"/>
      <c r="B1544" s="795"/>
      <c r="C1544" s="795"/>
      <c r="D1544" s="795"/>
      <c r="E1544" s="795"/>
      <c r="F1544" s="795"/>
      <c r="G1544" s="796"/>
    </row>
    <row r="1545" spans="1:7" x14ac:dyDescent="0.25">
      <c r="A1545" s="803" t="s">
        <v>1652</v>
      </c>
      <c r="B1545" s="804"/>
      <c r="C1545" s="804"/>
      <c r="D1545" s="804"/>
      <c r="E1545" s="804"/>
      <c r="F1545" s="804"/>
      <c r="G1545" s="805"/>
    </row>
    <row r="1546" spans="1:7" x14ac:dyDescent="0.25">
      <c r="A1546" s="803"/>
      <c r="B1546" s="804"/>
      <c r="C1546" s="804"/>
      <c r="D1546" s="804"/>
      <c r="E1546" s="804"/>
      <c r="F1546" s="804"/>
      <c r="G1546" s="805"/>
    </row>
    <row r="1547" spans="1:7" ht="31.5" hidden="1" customHeight="1" x14ac:dyDescent="0.25">
      <c r="A1547" s="790" t="s">
        <v>1509</v>
      </c>
      <c r="B1547" s="791"/>
      <c r="C1547" s="826" t="s">
        <v>1419</v>
      </c>
      <c r="D1547" s="826"/>
      <c r="E1547" s="826"/>
      <c r="F1547" s="826"/>
      <c r="G1547" s="827"/>
    </row>
    <row r="1548" spans="1:7" hidden="1" x14ac:dyDescent="0.25">
      <c r="A1548" s="780"/>
      <c r="B1548" s="781"/>
      <c r="C1548" s="781"/>
      <c r="D1548" s="781"/>
      <c r="E1548" s="781"/>
      <c r="F1548" s="781"/>
      <c r="G1548" s="782"/>
    </row>
    <row r="1549" spans="1:7" hidden="1" x14ac:dyDescent="0.25">
      <c r="A1549" s="507" t="s">
        <v>785</v>
      </c>
      <c r="B1549" s="485" t="s">
        <v>786</v>
      </c>
      <c r="C1549" s="489" t="s">
        <v>787</v>
      </c>
      <c r="D1549" s="490" t="s">
        <v>788</v>
      </c>
      <c r="E1549" s="491" t="s">
        <v>789</v>
      </c>
      <c r="F1549" s="492" t="s">
        <v>790</v>
      </c>
      <c r="G1549" s="509" t="s">
        <v>791</v>
      </c>
    </row>
    <row r="1550" spans="1:7" hidden="1" x14ac:dyDescent="0.25">
      <c r="A1550" s="545">
        <v>88247</v>
      </c>
      <c r="B1550" s="546" t="s">
        <v>792</v>
      </c>
      <c r="C1550" s="499" t="s">
        <v>806</v>
      </c>
      <c r="D1550" s="542" t="s">
        <v>799</v>
      </c>
      <c r="E1550" s="495">
        <v>9.1</v>
      </c>
      <c r="F1550" s="543">
        <v>19.2</v>
      </c>
      <c r="G1550" s="514">
        <f>TRUNC(F1550*E1550,2)</f>
        <v>174.72</v>
      </c>
    </row>
    <row r="1551" spans="1:7" hidden="1" x14ac:dyDescent="0.25">
      <c r="A1551" s="545">
        <v>88264</v>
      </c>
      <c r="B1551" s="546" t="s">
        <v>792</v>
      </c>
      <c r="C1551" s="499" t="s">
        <v>807</v>
      </c>
      <c r="D1551" s="542" t="s">
        <v>799</v>
      </c>
      <c r="E1551" s="495">
        <v>9.1</v>
      </c>
      <c r="F1551" s="543">
        <v>23.24</v>
      </c>
      <c r="G1551" s="514">
        <f>TRUNC(F1551*E1551,2)</f>
        <v>211.48</v>
      </c>
    </row>
    <row r="1552" spans="1:7" hidden="1" x14ac:dyDescent="0.25">
      <c r="A1552" s="545">
        <v>88286</v>
      </c>
      <c r="B1552" s="546" t="s">
        <v>792</v>
      </c>
      <c r="C1552" s="499" t="s">
        <v>813</v>
      </c>
      <c r="D1552" s="542" t="s">
        <v>799</v>
      </c>
      <c r="E1552" s="495">
        <v>0.215</v>
      </c>
      <c r="F1552" s="503">
        <v>20.63</v>
      </c>
      <c r="G1552" s="522">
        <f>TRUNC(E1552*F1552,2)</f>
        <v>4.43</v>
      </c>
    </row>
    <row r="1553" spans="1:7" hidden="1" x14ac:dyDescent="0.25">
      <c r="A1553" s="788" t="s">
        <v>21</v>
      </c>
      <c r="B1553" s="789"/>
      <c r="C1553" s="789"/>
      <c r="D1553" s="789"/>
      <c r="E1553" s="789"/>
      <c r="F1553" s="789"/>
      <c r="G1553" s="511">
        <f>SUM(G1550:G1552)</f>
        <v>390.63</v>
      </c>
    </row>
    <row r="1554" spans="1:7" hidden="1" x14ac:dyDescent="0.25">
      <c r="A1554" s="780"/>
      <c r="B1554" s="781"/>
      <c r="C1554" s="781"/>
      <c r="D1554" s="781"/>
      <c r="E1554" s="781"/>
      <c r="F1554" s="781"/>
      <c r="G1554" s="782"/>
    </row>
    <row r="1555" spans="1:7" hidden="1" x14ac:dyDescent="0.25">
      <c r="A1555" s="507" t="s">
        <v>785</v>
      </c>
      <c r="B1555" s="485" t="s">
        <v>786</v>
      </c>
      <c r="C1555" s="489" t="s">
        <v>816</v>
      </c>
      <c r="D1555" s="490" t="s">
        <v>788</v>
      </c>
      <c r="E1555" s="491" t="s">
        <v>789</v>
      </c>
      <c r="F1555" s="492" t="s">
        <v>790</v>
      </c>
      <c r="G1555" s="509" t="s">
        <v>791</v>
      </c>
    </row>
    <row r="1556" spans="1:7" ht="45" hidden="1" x14ac:dyDescent="0.25">
      <c r="A1556" s="545">
        <v>5928</v>
      </c>
      <c r="B1556" s="546" t="s">
        <v>792</v>
      </c>
      <c r="C1556" s="499" t="s">
        <v>814</v>
      </c>
      <c r="D1556" s="542" t="s">
        <v>799</v>
      </c>
      <c r="E1556" s="495">
        <v>0.215</v>
      </c>
      <c r="F1556" s="543">
        <v>295.87</v>
      </c>
      <c r="G1556" s="514">
        <f>TRUNC(F1556*E1556,2)</f>
        <v>63.61</v>
      </c>
    </row>
    <row r="1557" spans="1:7" hidden="1" x14ac:dyDescent="0.25">
      <c r="A1557" s="788" t="s">
        <v>21</v>
      </c>
      <c r="B1557" s="789"/>
      <c r="C1557" s="789"/>
      <c r="D1557" s="789"/>
      <c r="E1557" s="789"/>
      <c r="F1557" s="789"/>
      <c r="G1557" s="511">
        <f>SUM(G1556:G1556)</f>
        <v>63.61</v>
      </c>
    </row>
    <row r="1558" spans="1:7" hidden="1" x14ac:dyDescent="0.25">
      <c r="A1558" s="780"/>
      <c r="B1558" s="781"/>
      <c r="C1558" s="781"/>
      <c r="D1558" s="781"/>
      <c r="E1558" s="781"/>
      <c r="F1558" s="781"/>
      <c r="G1558" s="782"/>
    </row>
    <row r="1559" spans="1:7" hidden="1" x14ac:dyDescent="0.25">
      <c r="A1559" s="507" t="s">
        <v>785</v>
      </c>
      <c r="B1559" s="485" t="s">
        <v>786</v>
      </c>
      <c r="C1559" s="489" t="s">
        <v>801</v>
      </c>
      <c r="D1559" s="490" t="s">
        <v>788</v>
      </c>
      <c r="E1559" s="496" t="s">
        <v>789</v>
      </c>
      <c r="F1559" s="492" t="s">
        <v>790</v>
      </c>
      <c r="G1559" s="509" t="s">
        <v>791</v>
      </c>
    </row>
    <row r="1560" spans="1:7" ht="45" hidden="1" x14ac:dyDescent="0.25">
      <c r="A1560" s="515">
        <v>102107</v>
      </c>
      <c r="B1560" s="546" t="s">
        <v>817</v>
      </c>
      <c r="C1560" s="501" t="s">
        <v>1419</v>
      </c>
      <c r="D1560" s="539" t="s">
        <v>275</v>
      </c>
      <c r="E1560" s="498">
        <v>1</v>
      </c>
      <c r="F1560" s="540">
        <v>53284</v>
      </c>
      <c r="G1560" s="514">
        <f>TRUNC(F1560*E1560,2)</f>
        <v>53284</v>
      </c>
    </row>
    <row r="1561" spans="1:7" hidden="1" x14ac:dyDescent="0.25">
      <c r="A1561" s="788" t="s">
        <v>21</v>
      </c>
      <c r="B1561" s="789"/>
      <c r="C1561" s="789"/>
      <c r="D1561" s="789"/>
      <c r="E1561" s="789"/>
      <c r="F1561" s="789"/>
      <c r="G1561" s="511">
        <f>SUM(G1560:G1560)</f>
        <v>53284</v>
      </c>
    </row>
    <row r="1562" spans="1:7" hidden="1" x14ac:dyDescent="0.25">
      <c r="A1562" s="797" t="s">
        <v>796</v>
      </c>
      <c r="B1562" s="786"/>
      <c r="C1562" s="786"/>
      <c r="D1562" s="786"/>
      <c r="E1562" s="786"/>
      <c r="F1562" s="786"/>
      <c r="G1562" s="512">
        <f>G1553+G1557+G1561</f>
        <v>53738.239999999998</v>
      </c>
    </row>
    <row r="1563" spans="1:7" hidden="1" x14ac:dyDescent="0.25">
      <c r="A1563" s="780"/>
      <c r="B1563" s="781"/>
      <c r="C1563" s="781"/>
      <c r="D1563" s="781"/>
      <c r="E1563" s="781"/>
      <c r="F1563" s="781"/>
      <c r="G1563" s="782"/>
    </row>
    <row r="1564" spans="1:7" hidden="1" x14ac:dyDescent="0.25">
      <c r="A1564" s="772" t="s">
        <v>1653</v>
      </c>
      <c r="B1564" s="773"/>
      <c r="C1564" s="773"/>
      <c r="D1564" s="773"/>
      <c r="E1564" s="773"/>
      <c r="F1564" s="773"/>
      <c r="G1564" s="774"/>
    </row>
    <row r="1565" spans="1:7" hidden="1" x14ac:dyDescent="0.25">
      <c r="A1565" s="772"/>
      <c r="B1565" s="773"/>
      <c r="C1565" s="773"/>
      <c r="D1565" s="773"/>
      <c r="E1565" s="773"/>
      <c r="F1565" s="773"/>
      <c r="G1565" s="774"/>
    </row>
    <row r="1566" spans="1:7" x14ac:dyDescent="0.25">
      <c r="A1566" s="790" t="s">
        <v>1541</v>
      </c>
      <c r="B1566" s="791"/>
      <c r="C1566" s="798" t="str">
        <f>C1574</f>
        <v>VERGALHAO ZINCADO ROSCA TOTAL, 1/4 " (6,3 MM) - FORNECIMENTO E INSTALAÇÃO</v>
      </c>
      <c r="D1566" s="798"/>
      <c r="E1566" s="798"/>
      <c r="F1566" s="798"/>
      <c r="G1566" s="799"/>
    </row>
    <row r="1567" spans="1:7" x14ac:dyDescent="0.25">
      <c r="A1567" s="780"/>
      <c r="B1567" s="781"/>
      <c r="C1567" s="781"/>
      <c r="D1567" s="781"/>
      <c r="E1567" s="781"/>
      <c r="F1567" s="781"/>
      <c r="G1567" s="782"/>
    </row>
    <row r="1568" spans="1:7" x14ac:dyDescent="0.25">
      <c r="A1568" s="507" t="s">
        <v>785</v>
      </c>
      <c r="B1568" s="485" t="s">
        <v>786</v>
      </c>
      <c r="C1568" s="489" t="s">
        <v>787</v>
      </c>
      <c r="D1568" s="490" t="s">
        <v>788</v>
      </c>
      <c r="E1568" s="491" t="s">
        <v>789</v>
      </c>
      <c r="F1568" s="492" t="s">
        <v>790</v>
      </c>
      <c r="G1568" s="509" t="s">
        <v>791</v>
      </c>
    </row>
    <row r="1569" spans="1:7" x14ac:dyDescent="0.25">
      <c r="A1569" s="545">
        <v>88247</v>
      </c>
      <c r="B1569" s="546" t="s">
        <v>792</v>
      </c>
      <c r="C1569" s="499" t="s">
        <v>806</v>
      </c>
      <c r="D1569" s="542" t="s">
        <v>799</v>
      </c>
      <c r="E1569" s="495">
        <v>0.3</v>
      </c>
      <c r="F1569" s="543">
        <v>19.2</v>
      </c>
      <c r="G1569" s="514">
        <f>TRUNC(F1569*E1569,2)</f>
        <v>5.76</v>
      </c>
    </row>
    <row r="1570" spans="1:7" x14ac:dyDescent="0.25">
      <c r="A1570" s="545">
        <v>88264</v>
      </c>
      <c r="B1570" s="546" t="s">
        <v>792</v>
      </c>
      <c r="C1570" s="499" t="s">
        <v>807</v>
      </c>
      <c r="D1570" s="542" t="s">
        <v>799</v>
      </c>
      <c r="E1570" s="495">
        <v>0.3</v>
      </c>
      <c r="F1570" s="543">
        <v>23.24</v>
      </c>
      <c r="G1570" s="514">
        <f>TRUNC(F1570*E1570,2)</f>
        <v>6.97</v>
      </c>
    </row>
    <row r="1571" spans="1:7" x14ac:dyDescent="0.25">
      <c r="A1571" s="788" t="s">
        <v>21</v>
      </c>
      <c r="B1571" s="789"/>
      <c r="C1571" s="789"/>
      <c r="D1571" s="789"/>
      <c r="E1571" s="789"/>
      <c r="F1571" s="789"/>
      <c r="G1571" s="511">
        <f>SUM(G1569:G1570)</f>
        <v>12.73</v>
      </c>
    </row>
    <row r="1572" spans="1:7" x14ac:dyDescent="0.25">
      <c r="A1572" s="780"/>
      <c r="B1572" s="781"/>
      <c r="C1572" s="781"/>
      <c r="D1572" s="781"/>
      <c r="E1572" s="781"/>
      <c r="F1572" s="781"/>
      <c r="G1572" s="782"/>
    </row>
    <row r="1573" spans="1:7" x14ac:dyDescent="0.25">
      <c r="A1573" s="507" t="s">
        <v>785</v>
      </c>
      <c r="B1573" s="485" t="s">
        <v>786</v>
      </c>
      <c r="C1573" s="489" t="s">
        <v>801</v>
      </c>
      <c r="D1573" s="490" t="s">
        <v>788</v>
      </c>
      <c r="E1573" s="496" t="s">
        <v>789</v>
      </c>
      <c r="F1573" s="492" t="s">
        <v>790</v>
      </c>
      <c r="G1573" s="509" t="s">
        <v>791</v>
      </c>
    </row>
    <row r="1574" spans="1:7" x14ac:dyDescent="0.25">
      <c r="A1574" s="515">
        <v>39996</v>
      </c>
      <c r="B1574" s="546" t="s">
        <v>817</v>
      </c>
      <c r="C1574" s="501" t="s">
        <v>1543</v>
      </c>
      <c r="D1574" s="539" t="s">
        <v>275</v>
      </c>
      <c r="E1574" s="498">
        <v>1</v>
      </c>
      <c r="F1574" s="540">
        <v>5.07</v>
      </c>
      <c r="G1574" s="514">
        <f>TRUNC(F1574*E1574,2)</f>
        <v>5.07</v>
      </c>
    </row>
    <row r="1575" spans="1:7" x14ac:dyDescent="0.25">
      <c r="A1575" s="788" t="s">
        <v>21</v>
      </c>
      <c r="B1575" s="789"/>
      <c r="C1575" s="789"/>
      <c r="D1575" s="789"/>
      <c r="E1575" s="789"/>
      <c r="F1575" s="789"/>
      <c r="G1575" s="511">
        <f>SUM(G1574:G1574)</f>
        <v>5.07</v>
      </c>
    </row>
    <row r="1576" spans="1:7" x14ac:dyDescent="0.25">
      <c r="A1576" s="797" t="s">
        <v>796</v>
      </c>
      <c r="B1576" s="786"/>
      <c r="C1576" s="786"/>
      <c r="D1576" s="786"/>
      <c r="E1576" s="786"/>
      <c r="F1576" s="786"/>
      <c r="G1576" s="512">
        <f>G1575+G1571</f>
        <v>17.8</v>
      </c>
    </row>
    <row r="1577" spans="1:7" x14ac:dyDescent="0.25">
      <c r="A1577" s="806"/>
      <c r="B1577" s="807"/>
      <c r="C1577" s="807"/>
      <c r="D1577" s="807"/>
      <c r="E1577" s="807"/>
      <c r="F1577" s="807"/>
      <c r="G1577" s="808"/>
    </row>
    <row r="1578" spans="1:7" ht="27" customHeight="1" x14ac:dyDescent="0.25">
      <c r="A1578" s="772" t="s">
        <v>1542</v>
      </c>
      <c r="B1578" s="773"/>
      <c r="C1578" s="773"/>
      <c r="D1578" s="773"/>
      <c r="E1578" s="773"/>
      <c r="F1578" s="773"/>
      <c r="G1578" s="774"/>
    </row>
    <row r="1579" spans="1:7" x14ac:dyDescent="0.25">
      <c r="A1579" s="772"/>
      <c r="B1579" s="773"/>
      <c r="C1579" s="773"/>
      <c r="D1579" s="773"/>
      <c r="E1579" s="773"/>
      <c r="F1579" s="773"/>
      <c r="G1579" s="774"/>
    </row>
    <row r="1580" spans="1:7" x14ac:dyDescent="0.25">
      <c r="A1580" s="790" t="s">
        <v>1545</v>
      </c>
      <c r="B1580" s="791"/>
      <c r="C1580" s="826" t="str">
        <f>C1588</f>
        <v>TERMINAL A COMPRESSAO EM COBRE ESTANHADO PARA CABO 50 MM2, 1 FURO E 1 COMPRESSAO, PARA PARAFUSO DE FIXACAO M8</v>
      </c>
      <c r="D1580" s="826"/>
      <c r="E1580" s="826"/>
      <c r="F1580" s="826"/>
      <c r="G1580" s="827"/>
    </row>
    <row r="1581" spans="1:7" x14ac:dyDescent="0.25">
      <c r="A1581" s="780"/>
      <c r="B1581" s="781"/>
      <c r="C1581" s="781"/>
      <c r="D1581" s="781"/>
      <c r="E1581" s="781"/>
      <c r="F1581" s="781"/>
      <c r="G1581" s="782"/>
    </row>
    <row r="1582" spans="1:7" x14ac:dyDescent="0.25">
      <c r="A1582" s="507" t="s">
        <v>785</v>
      </c>
      <c r="B1582" s="485" t="s">
        <v>786</v>
      </c>
      <c r="C1582" s="489" t="s">
        <v>787</v>
      </c>
      <c r="D1582" s="490" t="s">
        <v>788</v>
      </c>
      <c r="E1582" s="491" t="s">
        <v>789</v>
      </c>
      <c r="F1582" s="492" t="s">
        <v>790</v>
      </c>
      <c r="G1582" s="509" t="s">
        <v>791</v>
      </c>
    </row>
    <row r="1583" spans="1:7" x14ac:dyDescent="0.25">
      <c r="A1583" s="545">
        <v>88247</v>
      </c>
      <c r="B1583" s="546" t="s">
        <v>792</v>
      </c>
      <c r="C1583" s="499" t="s">
        <v>806</v>
      </c>
      <c r="D1583" s="542" t="s">
        <v>799</v>
      </c>
      <c r="E1583" s="495">
        <v>0.04</v>
      </c>
      <c r="F1583" s="543">
        <v>19.2</v>
      </c>
      <c r="G1583" s="514">
        <f>TRUNC(F1583*E1583,2)</f>
        <v>0.76</v>
      </c>
    </row>
    <row r="1584" spans="1:7" x14ac:dyDescent="0.25">
      <c r="A1584" s="545">
        <v>88264</v>
      </c>
      <c r="B1584" s="546" t="s">
        <v>792</v>
      </c>
      <c r="C1584" s="499" t="s">
        <v>807</v>
      </c>
      <c r="D1584" s="542" t="s">
        <v>799</v>
      </c>
      <c r="E1584" s="495">
        <v>0.08</v>
      </c>
      <c r="F1584" s="543">
        <v>23.24</v>
      </c>
      <c r="G1584" s="514">
        <f>TRUNC(F1584*E1584,2)</f>
        <v>1.85</v>
      </c>
    </row>
    <row r="1585" spans="1:7" x14ac:dyDescent="0.25">
      <c r="A1585" s="788" t="s">
        <v>21</v>
      </c>
      <c r="B1585" s="789"/>
      <c r="C1585" s="789"/>
      <c r="D1585" s="789"/>
      <c r="E1585" s="789"/>
      <c r="F1585" s="789"/>
      <c r="G1585" s="511">
        <f>SUM(G1583:G1584)</f>
        <v>2.6100000000000003</v>
      </c>
    </row>
    <row r="1586" spans="1:7" x14ac:dyDescent="0.25">
      <c r="A1586" s="780"/>
      <c r="B1586" s="781"/>
      <c r="C1586" s="781"/>
      <c r="D1586" s="781"/>
      <c r="E1586" s="781"/>
      <c r="F1586" s="781"/>
      <c r="G1586" s="782"/>
    </row>
    <row r="1587" spans="1:7" x14ac:dyDescent="0.25">
      <c r="A1587" s="507" t="s">
        <v>785</v>
      </c>
      <c r="B1587" s="485" t="s">
        <v>786</v>
      </c>
      <c r="C1587" s="489" t="s">
        <v>801</v>
      </c>
      <c r="D1587" s="490" t="s">
        <v>788</v>
      </c>
      <c r="E1587" s="496" t="s">
        <v>789</v>
      </c>
      <c r="F1587" s="492" t="s">
        <v>790</v>
      </c>
      <c r="G1587" s="509" t="s">
        <v>791</v>
      </c>
    </row>
    <row r="1588" spans="1:7" ht="30" x14ac:dyDescent="0.25">
      <c r="A1588" s="515">
        <v>1578</v>
      </c>
      <c r="B1588" s="546" t="s">
        <v>817</v>
      </c>
      <c r="C1588" s="501" t="s">
        <v>1546</v>
      </c>
      <c r="D1588" s="539" t="s">
        <v>275</v>
      </c>
      <c r="E1588" s="498">
        <v>1</v>
      </c>
      <c r="F1588" s="540">
        <v>4.84</v>
      </c>
      <c r="G1588" s="514">
        <f>TRUNC(F1588*E1588,2)</f>
        <v>4.84</v>
      </c>
    </row>
    <row r="1589" spans="1:7" x14ac:dyDescent="0.25">
      <c r="A1589" s="788" t="s">
        <v>21</v>
      </c>
      <c r="B1589" s="789"/>
      <c r="C1589" s="789"/>
      <c r="D1589" s="789"/>
      <c r="E1589" s="789"/>
      <c r="F1589" s="789"/>
      <c r="G1589" s="511">
        <f>SUM(G1588:G1588)</f>
        <v>4.84</v>
      </c>
    </row>
    <row r="1590" spans="1:7" x14ac:dyDescent="0.25">
      <c r="A1590" s="797" t="s">
        <v>796</v>
      </c>
      <c r="B1590" s="786"/>
      <c r="C1590" s="786"/>
      <c r="D1590" s="786"/>
      <c r="E1590" s="786"/>
      <c r="F1590" s="786"/>
      <c r="G1590" s="512">
        <f>G1589+G1585</f>
        <v>7.45</v>
      </c>
    </row>
    <row r="1591" spans="1:7" x14ac:dyDescent="0.25">
      <c r="A1591" s="780"/>
      <c r="B1591" s="781"/>
      <c r="C1591" s="781"/>
      <c r="D1591" s="781"/>
      <c r="E1591" s="781"/>
      <c r="F1591" s="781"/>
      <c r="G1591" s="782"/>
    </row>
    <row r="1592" spans="1:7" ht="26.25" customHeight="1" x14ac:dyDescent="0.25">
      <c r="A1592" s="772" t="s">
        <v>1547</v>
      </c>
      <c r="B1592" s="773"/>
      <c r="C1592" s="773"/>
      <c r="D1592" s="773"/>
      <c r="E1592" s="773"/>
      <c r="F1592" s="773"/>
      <c r="G1592" s="774"/>
    </row>
    <row r="1593" spans="1:7" x14ac:dyDescent="0.25">
      <c r="A1593" s="772"/>
      <c r="B1593" s="773"/>
      <c r="C1593" s="773"/>
      <c r="D1593" s="773"/>
      <c r="E1593" s="773"/>
      <c r="F1593" s="773"/>
      <c r="G1593" s="774"/>
    </row>
    <row r="1594" spans="1:7" x14ac:dyDescent="0.25">
      <c r="A1594" s="790" t="s">
        <v>1548</v>
      </c>
      <c r="B1594" s="791"/>
      <c r="C1594" s="798" t="str">
        <f>C1602</f>
        <v>ISOLADOR DE PORCELANA, TIPO BUCHA, PARA TENSAO DE *15* KV - FORNECIMENTO E INSTALAÇÃO</v>
      </c>
      <c r="D1594" s="798"/>
      <c r="E1594" s="798"/>
      <c r="F1594" s="798"/>
      <c r="G1594" s="799"/>
    </row>
    <row r="1595" spans="1:7" x14ac:dyDescent="0.25">
      <c r="A1595" s="780"/>
      <c r="B1595" s="781"/>
      <c r="C1595" s="781"/>
      <c r="D1595" s="781"/>
      <c r="E1595" s="781"/>
      <c r="F1595" s="781"/>
      <c r="G1595" s="782"/>
    </row>
    <row r="1596" spans="1:7" x14ac:dyDescent="0.25">
      <c r="A1596" s="507" t="s">
        <v>785</v>
      </c>
      <c r="B1596" s="485" t="s">
        <v>786</v>
      </c>
      <c r="C1596" s="489" t="s">
        <v>787</v>
      </c>
      <c r="D1596" s="490" t="s">
        <v>788</v>
      </c>
      <c r="E1596" s="491" t="s">
        <v>789</v>
      </c>
      <c r="F1596" s="492" t="s">
        <v>790</v>
      </c>
      <c r="G1596" s="509" t="s">
        <v>791</v>
      </c>
    </row>
    <row r="1597" spans="1:7" x14ac:dyDescent="0.25">
      <c r="A1597" s="545">
        <v>88247</v>
      </c>
      <c r="B1597" s="546" t="s">
        <v>792</v>
      </c>
      <c r="C1597" s="499" t="s">
        <v>806</v>
      </c>
      <c r="D1597" s="542" t="s">
        <v>799</v>
      </c>
      <c r="E1597" s="576">
        <v>6.8770999999999997E-3</v>
      </c>
      <c r="F1597" s="543">
        <v>19.2</v>
      </c>
      <c r="G1597" s="514">
        <f>TRUNC(F1597*E1597,2)</f>
        <v>0.13</v>
      </c>
    </row>
    <row r="1598" spans="1:7" x14ac:dyDescent="0.25">
      <c r="A1598" s="545">
        <v>88264</v>
      </c>
      <c r="B1598" s="546" t="s">
        <v>792</v>
      </c>
      <c r="C1598" s="499" t="s">
        <v>807</v>
      </c>
      <c r="D1598" s="542" t="s">
        <v>799</v>
      </c>
      <c r="E1598" s="504">
        <v>6.1899999999999997E-2</v>
      </c>
      <c r="F1598" s="543">
        <v>23.24</v>
      </c>
      <c r="G1598" s="514">
        <f>TRUNC(F1598*E1598,2)</f>
        <v>1.43</v>
      </c>
    </row>
    <row r="1599" spans="1:7" x14ac:dyDescent="0.25">
      <c r="A1599" s="788" t="s">
        <v>21</v>
      </c>
      <c r="B1599" s="789"/>
      <c r="C1599" s="789"/>
      <c r="D1599" s="789"/>
      <c r="E1599" s="789"/>
      <c r="F1599" s="789"/>
      <c r="G1599" s="511">
        <f>SUM(G1597:G1598)</f>
        <v>1.56</v>
      </c>
    </row>
    <row r="1600" spans="1:7" x14ac:dyDescent="0.25">
      <c r="A1600" s="780"/>
      <c r="B1600" s="781"/>
      <c r="C1600" s="781"/>
      <c r="D1600" s="781"/>
      <c r="E1600" s="781"/>
      <c r="F1600" s="781"/>
      <c r="G1600" s="782"/>
    </row>
    <row r="1601" spans="1:7" x14ac:dyDescent="0.25">
      <c r="A1601" s="507" t="s">
        <v>785</v>
      </c>
      <c r="B1601" s="485" t="s">
        <v>786</v>
      </c>
      <c r="C1601" s="489" t="s">
        <v>801</v>
      </c>
      <c r="D1601" s="490" t="s">
        <v>788</v>
      </c>
      <c r="E1601" s="496" t="s">
        <v>789</v>
      </c>
      <c r="F1601" s="492" t="s">
        <v>790</v>
      </c>
      <c r="G1601" s="509" t="s">
        <v>791</v>
      </c>
    </row>
    <row r="1602" spans="1:7" ht="30" x14ac:dyDescent="0.25">
      <c r="A1602" s="515">
        <v>3394</v>
      </c>
      <c r="B1602" s="546" t="s">
        <v>817</v>
      </c>
      <c r="C1602" s="501" t="s">
        <v>1549</v>
      </c>
      <c r="D1602" s="539" t="s">
        <v>275</v>
      </c>
      <c r="E1602" s="498">
        <v>1</v>
      </c>
      <c r="F1602" s="540">
        <v>517.36</v>
      </c>
      <c r="G1602" s="514">
        <f>TRUNC(F1602*E1602,2)</f>
        <v>517.36</v>
      </c>
    </row>
    <row r="1603" spans="1:7" x14ac:dyDescent="0.25">
      <c r="A1603" s="788" t="s">
        <v>21</v>
      </c>
      <c r="B1603" s="789"/>
      <c r="C1603" s="789"/>
      <c r="D1603" s="789"/>
      <c r="E1603" s="789"/>
      <c r="F1603" s="789"/>
      <c r="G1603" s="511">
        <f>SUM(G1602:G1602)</f>
        <v>517.36</v>
      </c>
    </row>
    <row r="1604" spans="1:7" x14ac:dyDescent="0.25">
      <c r="A1604" s="797" t="s">
        <v>796</v>
      </c>
      <c r="B1604" s="786"/>
      <c r="C1604" s="786"/>
      <c r="D1604" s="786"/>
      <c r="E1604" s="786"/>
      <c r="F1604" s="786"/>
      <c r="G1604" s="512">
        <f>G1603+G1599</f>
        <v>518.91999999999996</v>
      </c>
    </row>
    <row r="1605" spans="1:7" x14ac:dyDescent="0.25">
      <c r="A1605" s="806"/>
      <c r="B1605" s="807"/>
      <c r="C1605" s="807"/>
      <c r="D1605" s="807"/>
      <c r="E1605" s="807"/>
      <c r="F1605" s="807"/>
      <c r="G1605" s="808"/>
    </row>
    <row r="1606" spans="1:7" x14ac:dyDescent="0.25">
      <c r="A1606" s="772" t="s">
        <v>1673</v>
      </c>
      <c r="B1606" s="773"/>
      <c r="C1606" s="773"/>
      <c r="D1606" s="773"/>
      <c r="E1606" s="773"/>
      <c r="F1606" s="773"/>
      <c r="G1606" s="774"/>
    </row>
    <row r="1607" spans="1:7" ht="30" customHeight="1" x14ac:dyDescent="0.25">
      <c r="A1607" s="772"/>
      <c r="B1607" s="773"/>
      <c r="C1607" s="773"/>
      <c r="D1607" s="773"/>
      <c r="E1607" s="773"/>
      <c r="F1607" s="773"/>
      <c r="G1607" s="774"/>
    </row>
    <row r="1608" spans="1:7" x14ac:dyDescent="0.25">
      <c r="A1608" s="790" t="s">
        <v>1550</v>
      </c>
      <c r="B1608" s="791"/>
      <c r="C1608" s="826" t="str">
        <f>C1616</f>
        <v>ISOLADOR DE PORCELANA, TIPO PINO MONOCORPO, PARA TENSAO DE *15* KV - FORNECIMENTO E INSTALAÇÃO</v>
      </c>
      <c r="D1608" s="826"/>
      <c r="E1608" s="826"/>
      <c r="F1608" s="826"/>
      <c r="G1608" s="827"/>
    </row>
    <row r="1609" spans="1:7" x14ac:dyDescent="0.25">
      <c r="A1609" s="780"/>
      <c r="B1609" s="781"/>
      <c r="C1609" s="781"/>
      <c r="D1609" s="781"/>
      <c r="E1609" s="781"/>
      <c r="F1609" s="781"/>
      <c r="G1609" s="782"/>
    </row>
    <row r="1610" spans="1:7" x14ac:dyDescent="0.25">
      <c r="A1610" s="507" t="s">
        <v>785</v>
      </c>
      <c r="B1610" s="485" t="s">
        <v>786</v>
      </c>
      <c r="C1610" s="489" t="s">
        <v>787</v>
      </c>
      <c r="D1610" s="490" t="s">
        <v>788</v>
      </c>
      <c r="E1610" s="491" t="s">
        <v>789</v>
      </c>
      <c r="F1610" s="492" t="s">
        <v>790</v>
      </c>
      <c r="G1610" s="509" t="s">
        <v>791</v>
      </c>
    </row>
    <row r="1611" spans="1:7" x14ac:dyDescent="0.25">
      <c r="A1611" s="545">
        <v>88247</v>
      </c>
      <c r="B1611" s="546" t="s">
        <v>792</v>
      </c>
      <c r="C1611" s="499" t="s">
        <v>806</v>
      </c>
      <c r="D1611" s="542" t="s">
        <v>799</v>
      </c>
      <c r="E1611" s="495">
        <v>0.6</v>
      </c>
      <c r="F1611" s="543">
        <v>19.2</v>
      </c>
      <c r="G1611" s="514">
        <f>TRUNC(F1611*E1611,2)</f>
        <v>11.52</v>
      </c>
    </row>
    <row r="1612" spans="1:7" x14ac:dyDescent="0.25">
      <c r="A1612" s="545">
        <v>88264</v>
      </c>
      <c r="B1612" s="546" t="s">
        <v>792</v>
      </c>
      <c r="C1612" s="499" t="s">
        <v>807</v>
      </c>
      <c r="D1612" s="542" t="s">
        <v>799</v>
      </c>
      <c r="E1612" s="495">
        <v>0.6</v>
      </c>
      <c r="F1612" s="543">
        <v>23.24</v>
      </c>
      <c r="G1612" s="514">
        <f>TRUNC(F1612*E1612,2)</f>
        <v>13.94</v>
      </c>
    </row>
    <row r="1613" spans="1:7" x14ac:dyDescent="0.25">
      <c r="A1613" s="788" t="s">
        <v>21</v>
      </c>
      <c r="B1613" s="789"/>
      <c r="C1613" s="789"/>
      <c r="D1613" s="789"/>
      <c r="E1613" s="789"/>
      <c r="F1613" s="789"/>
      <c r="G1613" s="511">
        <f>SUM(G1611:G1612)</f>
        <v>25.46</v>
      </c>
    </row>
    <row r="1614" spans="1:7" x14ac:dyDescent="0.25">
      <c r="A1614" s="780"/>
      <c r="B1614" s="781"/>
      <c r="C1614" s="781"/>
      <c r="D1614" s="781"/>
      <c r="E1614" s="781"/>
      <c r="F1614" s="781"/>
      <c r="G1614" s="782"/>
    </row>
    <row r="1615" spans="1:7" x14ac:dyDescent="0.25">
      <c r="A1615" s="507" t="s">
        <v>785</v>
      </c>
      <c r="B1615" s="485" t="s">
        <v>786</v>
      </c>
      <c r="C1615" s="489" t="s">
        <v>801</v>
      </c>
      <c r="D1615" s="490" t="s">
        <v>788</v>
      </c>
      <c r="E1615" s="496" t="s">
        <v>789</v>
      </c>
      <c r="F1615" s="492" t="s">
        <v>790</v>
      </c>
      <c r="G1615" s="509" t="s">
        <v>791</v>
      </c>
    </row>
    <row r="1616" spans="1:7" ht="30" x14ac:dyDescent="0.25">
      <c r="A1616" s="515">
        <v>3406</v>
      </c>
      <c r="B1616" s="546" t="s">
        <v>817</v>
      </c>
      <c r="C1616" s="501" t="s">
        <v>1551</v>
      </c>
      <c r="D1616" s="539" t="s">
        <v>275</v>
      </c>
      <c r="E1616" s="498">
        <v>1</v>
      </c>
      <c r="F1616" s="540">
        <v>30</v>
      </c>
      <c r="G1616" s="514">
        <f>TRUNC(F1616*E1616,2)</f>
        <v>30</v>
      </c>
    </row>
    <row r="1617" spans="1:7" x14ac:dyDescent="0.25">
      <c r="A1617" s="788" t="s">
        <v>21</v>
      </c>
      <c r="B1617" s="789"/>
      <c r="C1617" s="789"/>
      <c r="D1617" s="789"/>
      <c r="E1617" s="789"/>
      <c r="F1617" s="789"/>
      <c r="G1617" s="511">
        <f>SUM(G1616:G1616)</f>
        <v>30</v>
      </c>
    </row>
    <row r="1618" spans="1:7" x14ac:dyDescent="0.25">
      <c r="A1618" s="797" t="s">
        <v>796</v>
      </c>
      <c r="B1618" s="786"/>
      <c r="C1618" s="786"/>
      <c r="D1618" s="786"/>
      <c r="E1618" s="786"/>
      <c r="F1618" s="786"/>
      <c r="G1618" s="512">
        <f>G1617+G1613</f>
        <v>55.46</v>
      </c>
    </row>
    <row r="1619" spans="1:7" x14ac:dyDescent="0.25">
      <c r="A1619" s="806"/>
      <c r="B1619" s="807"/>
      <c r="C1619" s="807"/>
      <c r="D1619" s="807"/>
      <c r="E1619" s="807"/>
      <c r="F1619" s="807"/>
      <c r="G1619" s="808"/>
    </row>
    <row r="1620" spans="1:7" x14ac:dyDescent="0.25">
      <c r="A1620" s="772" t="s">
        <v>1552</v>
      </c>
      <c r="B1620" s="773"/>
      <c r="C1620" s="773"/>
      <c r="D1620" s="773"/>
      <c r="E1620" s="773"/>
      <c r="F1620" s="773"/>
      <c r="G1620" s="774"/>
    </row>
    <row r="1621" spans="1:7" ht="29.25" customHeight="1" x14ac:dyDescent="0.25">
      <c r="A1621" s="772"/>
      <c r="B1621" s="773"/>
      <c r="C1621" s="773"/>
      <c r="D1621" s="773"/>
      <c r="E1621" s="773"/>
      <c r="F1621" s="773"/>
      <c r="G1621" s="774"/>
    </row>
    <row r="1622" spans="1:7" x14ac:dyDescent="0.25">
      <c r="A1622" s="790" t="s">
        <v>1553</v>
      </c>
      <c r="B1622" s="791"/>
      <c r="C1622" s="826" t="str">
        <f>C1630</f>
        <v>PARAFUSO DE ACO TIPO CHUMBADOR PARABOLT, DIAMETRO 1/2", COMPRIMENTO 75 MM - FORNECIMENTO E INSTALAÇÃO</v>
      </c>
      <c r="D1622" s="826"/>
      <c r="E1622" s="826"/>
      <c r="F1622" s="826"/>
      <c r="G1622" s="827"/>
    </row>
    <row r="1623" spans="1:7" x14ac:dyDescent="0.25">
      <c r="A1623" s="780"/>
      <c r="B1623" s="781"/>
      <c r="C1623" s="781"/>
      <c r="D1623" s="781"/>
      <c r="E1623" s="781"/>
      <c r="F1623" s="781"/>
      <c r="G1623" s="782"/>
    </row>
    <row r="1624" spans="1:7" x14ac:dyDescent="0.25">
      <c r="A1624" s="507" t="s">
        <v>785</v>
      </c>
      <c r="B1624" s="485" t="s">
        <v>786</v>
      </c>
      <c r="C1624" s="489" t="s">
        <v>787</v>
      </c>
      <c r="D1624" s="490" t="s">
        <v>788</v>
      </c>
      <c r="E1624" s="491" t="s">
        <v>789</v>
      </c>
      <c r="F1624" s="492" t="s">
        <v>790</v>
      </c>
      <c r="G1624" s="509" t="s">
        <v>791</v>
      </c>
    </row>
    <row r="1625" spans="1:7" x14ac:dyDescent="0.25">
      <c r="A1625" s="545">
        <v>88247</v>
      </c>
      <c r="B1625" s="546" t="s">
        <v>792</v>
      </c>
      <c r="C1625" s="499" t="s">
        <v>806</v>
      </c>
      <c r="D1625" s="542" t="s">
        <v>799</v>
      </c>
      <c r="E1625" s="495">
        <v>0.15</v>
      </c>
      <c r="F1625" s="543">
        <v>19.2</v>
      </c>
      <c r="G1625" s="514">
        <f>TRUNC(F1625*E1625,2)</f>
        <v>2.88</v>
      </c>
    </row>
    <row r="1626" spans="1:7" x14ac:dyDescent="0.25">
      <c r="A1626" s="545">
        <v>88264</v>
      </c>
      <c r="B1626" s="546" t="s">
        <v>792</v>
      </c>
      <c r="C1626" s="499" t="s">
        <v>807</v>
      </c>
      <c r="D1626" s="542" t="s">
        <v>799</v>
      </c>
      <c r="E1626" s="495">
        <v>0.15</v>
      </c>
      <c r="F1626" s="543">
        <v>23.24</v>
      </c>
      <c r="G1626" s="514">
        <f>TRUNC(F1626*E1626,2)</f>
        <v>3.48</v>
      </c>
    </row>
    <row r="1627" spans="1:7" x14ac:dyDescent="0.25">
      <c r="A1627" s="788" t="s">
        <v>21</v>
      </c>
      <c r="B1627" s="789"/>
      <c r="C1627" s="789"/>
      <c r="D1627" s="789"/>
      <c r="E1627" s="789"/>
      <c r="F1627" s="789"/>
      <c r="G1627" s="511">
        <f>SUM(G1625:G1626)</f>
        <v>6.3599999999999994</v>
      </c>
    </row>
    <row r="1628" spans="1:7" x14ac:dyDescent="0.25">
      <c r="A1628" s="780"/>
      <c r="B1628" s="781"/>
      <c r="C1628" s="781"/>
      <c r="D1628" s="781"/>
      <c r="E1628" s="781"/>
      <c r="F1628" s="781"/>
      <c r="G1628" s="782"/>
    </row>
    <row r="1629" spans="1:7" x14ac:dyDescent="0.25">
      <c r="A1629" s="507" t="s">
        <v>785</v>
      </c>
      <c r="B1629" s="485" t="s">
        <v>786</v>
      </c>
      <c r="C1629" s="489" t="s">
        <v>801</v>
      </c>
      <c r="D1629" s="490" t="s">
        <v>788</v>
      </c>
      <c r="E1629" s="496" t="s">
        <v>789</v>
      </c>
      <c r="F1629" s="492" t="s">
        <v>790</v>
      </c>
      <c r="G1629" s="509" t="s">
        <v>791</v>
      </c>
    </row>
    <row r="1630" spans="1:7" ht="30" x14ac:dyDescent="0.25">
      <c r="A1630" s="515">
        <v>11963</v>
      </c>
      <c r="B1630" s="546" t="s">
        <v>817</v>
      </c>
      <c r="C1630" s="501" t="s">
        <v>1555</v>
      </c>
      <c r="D1630" s="539" t="s">
        <v>275</v>
      </c>
      <c r="E1630" s="498">
        <v>1</v>
      </c>
      <c r="F1630" s="540">
        <v>8.7899999999999991</v>
      </c>
      <c r="G1630" s="514">
        <f>TRUNC(F1630*E1630,2)</f>
        <v>8.7899999999999991</v>
      </c>
    </row>
    <row r="1631" spans="1:7" x14ac:dyDescent="0.25">
      <c r="A1631" s="788" t="s">
        <v>21</v>
      </c>
      <c r="B1631" s="789"/>
      <c r="C1631" s="789"/>
      <c r="D1631" s="789"/>
      <c r="E1631" s="789"/>
      <c r="F1631" s="789"/>
      <c r="G1631" s="511">
        <f>SUM(G1630:G1630)</f>
        <v>8.7899999999999991</v>
      </c>
    </row>
    <row r="1632" spans="1:7" x14ac:dyDescent="0.25">
      <c r="A1632" s="797" t="s">
        <v>796</v>
      </c>
      <c r="B1632" s="786"/>
      <c r="C1632" s="786"/>
      <c r="D1632" s="786"/>
      <c r="E1632" s="786"/>
      <c r="F1632" s="786"/>
      <c r="G1632" s="512">
        <f>G1631+G1627</f>
        <v>15.149999999999999</v>
      </c>
    </row>
    <row r="1633" spans="1:7" x14ac:dyDescent="0.25">
      <c r="A1633" s="806"/>
      <c r="B1633" s="807"/>
      <c r="C1633" s="807"/>
      <c r="D1633" s="807"/>
      <c r="E1633" s="807"/>
      <c r="F1633" s="807"/>
      <c r="G1633" s="808"/>
    </row>
    <row r="1634" spans="1:7" ht="28.5" customHeight="1" x14ac:dyDescent="0.25">
      <c r="A1634" s="772" t="s">
        <v>1554</v>
      </c>
      <c r="B1634" s="773"/>
      <c r="C1634" s="773"/>
      <c r="D1634" s="773"/>
      <c r="E1634" s="773"/>
      <c r="F1634" s="773"/>
      <c r="G1634" s="774"/>
    </row>
    <row r="1635" spans="1:7" x14ac:dyDescent="0.25">
      <c r="A1635" s="772"/>
      <c r="B1635" s="773"/>
      <c r="C1635" s="773"/>
      <c r="D1635" s="773"/>
      <c r="E1635" s="773"/>
      <c r="F1635" s="773"/>
      <c r="G1635" s="774"/>
    </row>
    <row r="1636" spans="1:7" ht="53.25" customHeight="1" x14ac:dyDescent="0.25">
      <c r="A1636" s="790" t="s">
        <v>1557</v>
      </c>
      <c r="B1636" s="791"/>
      <c r="C1636" s="826" t="str">
        <f>C1644</f>
        <v>JANELA BASCULANTE, EM ALUMINIO PERFIL 20, 80 X 60 CM (A X L), 4 FLS (1 FIXA E 3 MOVEIS), ACABAMENTO BRANCO OU BRILHANTE, BATENTE DE 3 A 4 CM, COM VIDRO, SEM GUARNICAO - FORNECIMENTO E INSTALAÇÃO</v>
      </c>
      <c r="D1636" s="826"/>
      <c r="E1636" s="826"/>
      <c r="F1636" s="826"/>
      <c r="G1636" s="827"/>
    </row>
    <row r="1637" spans="1:7" x14ac:dyDescent="0.25">
      <c r="A1637" s="780"/>
      <c r="B1637" s="781"/>
      <c r="C1637" s="781"/>
      <c r="D1637" s="781"/>
      <c r="E1637" s="781"/>
      <c r="F1637" s="781"/>
      <c r="G1637" s="782"/>
    </row>
    <row r="1638" spans="1:7" x14ac:dyDescent="0.25">
      <c r="A1638" s="507" t="s">
        <v>785</v>
      </c>
      <c r="B1638" s="485" t="s">
        <v>786</v>
      </c>
      <c r="C1638" s="489" t="s">
        <v>787</v>
      </c>
      <c r="D1638" s="490" t="s">
        <v>788</v>
      </c>
      <c r="E1638" s="491" t="s">
        <v>789</v>
      </c>
      <c r="F1638" s="492" t="s">
        <v>790</v>
      </c>
      <c r="G1638" s="509" t="s">
        <v>791</v>
      </c>
    </row>
    <row r="1639" spans="1:7" x14ac:dyDescent="0.25">
      <c r="A1639" s="545">
        <v>88316</v>
      </c>
      <c r="B1639" s="546" t="s">
        <v>792</v>
      </c>
      <c r="C1639" s="499" t="s">
        <v>800</v>
      </c>
      <c r="D1639" s="542" t="s">
        <v>799</v>
      </c>
      <c r="E1639" s="495">
        <v>4</v>
      </c>
      <c r="F1639" s="543">
        <v>17.82</v>
      </c>
      <c r="G1639" s="514">
        <f>TRUNC(F1639*E1639,2)</f>
        <v>71.28</v>
      </c>
    </row>
    <row r="1640" spans="1:7" x14ac:dyDescent="0.25">
      <c r="A1640" s="545">
        <v>88309</v>
      </c>
      <c r="B1640" s="546" t="s">
        <v>792</v>
      </c>
      <c r="C1640" s="499" t="s">
        <v>1559</v>
      </c>
      <c r="D1640" s="542" t="s">
        <v>799</v>
      </c>
      <c r="E1640" s="495">
        <v>2</v>
      </c>
      <c r="F1640" s="543">
        <v>22.41</v>
      </c>
      <c r="G1640" s="514">
        <f>TRUNC(F1640*E1640,2)</f>
        <v>44.82</v>
      </c>
    </row>
    <row r="1641" spans="1:7" x14ac:dyDescent="0.25">
      <c r="A1641" s="788" t="s">
        <v>21</v>
      </c>
      <c r="B1641" s="789"/>
      <c r="C1641" s="789"/>
      <c r="D1641" s="789"/>
      <c r="E1641" s="789"/>
      <c r="F1641" s="789"/>
      <c r="G1641" s="511">
        <f>SUM(G1639:G1640)</f>
        <v>116.1</v>
      </c>
    </row>
    <row r="1642" spans="1:7" x14ac:dyDescent="0.25">
      <c r="A1642" s="780"/>
      <c r="B1642" s="781"/>
      <c r="C1642" s="781"/>
      <c r="D1642" s="781"/>
      <c r="E1642" s="781"/>
      <c r="F1642" s="781"/>
      <c r="G1642" s="782"/>
    </row>
    <row r="1643" spans="1:7" x14ac:dyDescent="0.25">
      <c r="A1643" s="507" t="s">
        <v>785</v>
      </c>
      <c r="B1643" s="485" t="s">
        <v>786</v>
      </c>
      <c r="C1643" s="489" t="s">
        <v>801</v>
      </c>
      <c r="D1643" s="490" t="s">
        <v>788</v>
      </c>
      <c r="E1643" s="496" t="s">
        <v>789</v>
      </c>
      <c r="F1643" s="492" t="s">
        <v>790</v>
      </c>
      <c r="G1643" s="509" t="s">
        <v>791</v>
      </c>
    </row>
    <row r="1644" spans="1:7" ht="45" x14ac:dyDescent="0.25">
      <c r="A1644" s="515">
        <v>34377</v>
      </c>
      <c r="B1644" s="546" t="s">
        <v>817</v>
      </c>
      <c r="C1644" s="501" t="s">
        <v>1558</v>
      </c>
      <c r="D1644" s="539" t="s">
        <v>275</v>
      </c>
      <c r="E1644" s="498">
        <v>1</v>
      </c>
      <c r="F1644" s="540">
        <v>170.33</v>
      </c>
      <c r="G1644" s="514">
        <f>TRUNC(F1644*E1644,2)</f>
        <v>170.33</v>
      </c>
    </row>
    <row r="1645" spans="1:7" x14ac:dyDescent="0.25">
      <c r="A1645" s="788" t="s">
        <v>21</v>
      </c>
      <c r="B1645" s="789"/>
      <c r="C1645" s="789"/>
      <c r="D1645" s="789"/>
      <c r="E1645" s="789"/>
      <c r="F1645" s="789"/>
      <c r="G1645" s="511">
        <f>SUM(G1644:G1644)</f>
        <v>170.33</v>
      </c>
    </row>
    <row r="1646" spans="1:7" x14ac:dyDescent="0.25">
      <c r="A1646" s="797" t="s">
        <v>796</v>
      </c>
      <c r="B1646" s="786"/>
      <c r="C1646" s="786"/>
      <c r="D1646" s="786"/>
      <c r="E1646" s="786"/>
      <c r="F1646" s="786"/>
      <c r="G1646" s="512">
        <f>G1645+G1641</f>
        <v>286.43</v>
      </c>
    </row>
    <row r="1647" spans="1:7" x14ac:dyDescent="0.25">
      <c r="A1647" s="806"/>
      <c r="B1647" s="807"/>
      <c r="C1647" s="807"/>
      <c r="D1647" s="807"/>
      <c r="E1647" s="807"/>
      <c r="F1647" s="807"/>
      <c r="G1647" s="808"/>
    </row>
    <row r="1648" spans="1:7" ht="29.25" customHeight="1" x14ac:dyDescent="0.25">
      <c r="A1648" s="772" t="s">
        <v>1560</v>
      </c>
      <c r="B1648" s="773"/>
      <c r="C1648" s="773"/>
      <c r="D1648" s="773"/>
      <c r="E1648" s="773"/>
      <c r="F1648" s="773"/>
      <c r="G1648" s="774"/>
    </row>
    <row r="1649" spans="1:7" ht="27" customHeight="1" x14ac:dyDescent="0.25">
      <c r="A1649" s="772"/>
      <c r="B1649" s="773"/>
      <c r="C1649" s="773"/>
      <c r="D1649" s="773"/>
      <c r="E1649" s="773"/>
      <c r="F1649" s="773"/>
      <c r="G1649" s="774"/>
    </row>
    <row r="1650" spans="1:7" ht="30" customHeight="1" x14ac:dyDescent="0.25">
      <c r="A1650" s="790" t="s">
        <v>1562</v>
      </c>
      <c r="B1650" s="791"/>
      <c r="C1650" s="826" t="str">
        <f>C1658</f>
        <v>PORTA DE ABRIR EM ACO COM DIVISAO HORIZONTAL PARA VIDROS, COM FUNDO ANTICORROSIVO/PRIMER DE PROTECAO, SEM GUARNICAO/ALIZAR/VISTA, VIDROS NÃO INCLUSOS, 90 X 210 CM - FORNECIMENTO E INSTALAÇÃO</v>
      </c>
      <c r="D1650" s="826"/>
      <c r="E1650" s="826"/>
      <c r="F1650" s="826"/>
      <c r="G1650" s="827"/>
    </row>
    <row r="1651" spans="1:7" x14ac:dyDescent="0.25">
      <c r="A1651" s="780"/>
      <c r="B1651" s="781"/>
      <c r="C1651" s="781"/>
      <c r="D1651" s="781"/>
      <c r="E1651" s="781"/>
      <c r="F1651" s="781"/>
      <c r="G1651" s="782"/>
    </row>
    <row r="1652" spans="1:7" x14ac:dyDescent="0.25">
      <c r="A1652" s="507" t="s">
        <v>785</v>
      </c>
      <c r="B1652" s="485" t="s">
        <v>786</v>
      </c>
      <c r="C1652" s="489" t="s">
        <v>787</v>
      </c>
      <c r="D1652" s="490" t="s">
        <v>788</v>
      </c>
      <c r="E1652" s="491" t="s">
        <v>789</v>
      </c>
      <c r="F1652" s="492" t="s">
        <v>790</v>
      </c>
      <c r="G1652" s="509" t="s">
        <v>791</v>
      </c>
    </row>
    <row r="1653" spans="1:7" x14ac:dyDescent="0.25">
      <c r="A1653" s="545">
        <v>88316</v>
      </c>
      <c r="B1653" s="546" t="s">
        <v>792</v>
      </c>
      <c r="C1653" s="499" t="s">
        <v>800</v>
      </c>
      <c r="D1653" s="542" t="s">
        <v>799</v>
      </c>
      <c r="E1653" s="495">
        <v>1.5</v>
      </c>
      <c r="F1653" s="543">
        <v>17.82</v>
      </c>
      <c r="G1653" s="514">
        <f>TRUNC(F1653*E1653,2)</f>
        <v>26.73</v>
      </c>
    </row>
    <row r="1654" spans="1:7" x14ac:dyDescent="0.25">
      <c r="A1654" s="545">
        <v>88309</v>
      </c>
      <c r="B1654" s="546" t="s">
        <v>792</v>
      </c>
      <c r="C1654" s="499" t="s">
        <v>1559</v>
      </c>
      <c r="D1654" s="542" t="s">
        <v>799</v>
      </c>
      <c r="E1654" s="495">
        <v>1.5</v>
      </c>
      <c r="F1654" s="543">
        <v>22.41</v>
      </c>
      <c r="G1654" s="514">
        <f>TRUNC(F1654*E1654,2)</f>
        <v>33.61</v>
      </c>
    </row>
    <row r="1655" spans="1:7" x14ac:dyDescent="0.25">
      <c r="A1655" s="839" t="s">
        <v>21</v>
      </c>
      <c r="B1655" s="840"/>
      <c r="C1655" s="840"/>
      <c r="D1655" s="840"/>
      <c r="E1655" s="840"/>
      <c r="F1655" s="840"/>
      <c r="G1655" s="511">
        <f>SUM(G1653:G1654)</f>
        <v>60.34</v>
      </c>
    </row>
    <row r="1656" spans="1:7" x14ac:dyDescent="0.25">
      <c r="A1656" s="780"/>
      <c r="B1656" s="781"/>
      <c r="C1656" s="781"/>
      <c r="D1656" s="781"/>
      <c r="E1656" s="781"/>
      <c r="F1656" s="781"/>
      <c r="G1656" s="782"/>
    </row>
    <row r="1657" spans="1:7" x14ac:dyDescent="0.25">
      <c r="A1657" s="507" t="s">
        <v>785</v>
      </c>
      <c r="B1657" s="485" t="s">
        <v>786</v>
      </c>
      <c r="C1657" s="489" t="s">
        <v>801</v>
      </c>
      <c r="D1657" s="490" t="s">
        <v>788</v>
      </c>
      <c r="E1657" s="496" t="s">
        <v>789</v>
      </c>
      <c r="F1657" s="492" t="s">
        <v>790</v>
      </c>
      <c r="G1657" s="509" t="s">
        <v>791</v>
      </c>
    </row>
    <row r="1658" spans="1:7" ht="45" x14ac:dyDescent="0.25">
      <c r="A1658" s="515">
        <v>39021</v>
      </c>
      <c r="B1658" s="546" t="s">
        <v>817</v>
      </c>
      <c r="C1658" s="501" t="s">
        <v>1563</v>
      </c>
      <c r="D1658" s="539" t="s">
        <v>275</v>
      </c>
      <c r="E1658" s="498">
        <v>1</v>
      </c>
      <c r="F1658" s="540">
        <v>661.14</v>
      </c>
      <c r="G1658" s="514">
        <f>TRUNC(F1658*E1658,2)</f>
        <v>661.14</v>
      </c>
    </row>
    <row r="1659" spans="1:7" x14ac:dyDescent="0.25">
      <c r="A1659" s="788" t="s">
        <v>21</v>
      </c>
      <c r="B1659" s="789"/>
      <c r="C1659" s="789"/>
      <c r="D1659" s="789"/>
      <c r="E1659" s="789"/>
      <c r="F1659" s="789"/>
      <c r="G1659" s="511">
        <f>SUM(G1658:G1658)</f>
        <v>661.14</v>
      </c>
    </row>
    <row r="1660" spans="1:7" x14ac:dyDescent="0.25">
      <c r="A1660" s="797" t="s">
        <v>796</v>
      </c>
      <c r="B1660" s="786"/>
      <c r="C1660" s="786"/>
      <c r="D1660" s="786"/>
      <c r="E1660" s="786"/>
      <c r="F1660" s="786"/>
      <c r="G1660" s="512">
        <f>G1659+G1655</f>
        <v>721.48</v>
      </c>
    </row>
    <row r="1661" spans="1:7" x14ac:dyDescent="0.25">
      <c r="A1661" s="806"/>
      <c r="B1661" s="807"/>
      <c r="C1661" s="807"/>
      <c r="D1661" s="807"/>
      <c r="E1661" s="807"/>
      <c r="F1661" s="807"/>
      <c r="G1661" s="808"/>
    </row>
    <row r="1662" spans="1:7" ht="36.75" customHeight="1" x14ac:dyDescent="0.25">
      <c r="A1662" s="772" t="s">
        <v>1564</v>
      </c>
      <c r="B1662" s="773"/>
      <c r="C1662" s="773"/>
      <c r="D1662" s="773"/>
      <c r="E1662" s="773"/>
      <c r="F1662" s="773"/>
      <c r="G1662" s="774"/>
    </row>
    <row r="1663" spans="1:7" ht="38.25" customHeight="1" x14ac:dyDescent="0.25">
      <c r="A1663" s="772"/>
      <c r="B1663" s="773"/>
      <c r="C1663" s="773"/>
      <c r="D1663" s="773"/>
      <c r="E1663" s="773"/>
      <c r="F1663" s="773"/>
      <c r="G1663" s="774"/>
    </row>
    <row r="1664" spans="1:7" ht="31.5" customHeight="1" x14ac:dyDescent="0.25">
      <c r="A1664" s="790" t="s">
        <v>1565</v>
      </c>
      <c r="B1664" s="791"/>
      <c r="C1664" s="826" t="str">
        <f>C1672</f>
        <v>CURVA 90 GRAUS, PARA ELETRODUTO, EM ACO GALVANIZADO ELETROLITICO, DIAMETRO DE 40 MM (1 1/2") - FORNECIMENTO E INSTALAÇÃO</v>
      </c>
      <c r="D1664" s="826"/>
      <c r="E1664" s="826"/>
      <c r="F1664" s="826"/>
      <c r="G1664" s="827"/>
    </row>
    <row r="1665" spans="1:7" x14ac:dyDescent="0.25">
      <c r="A1665" s="780"/>
      <c r="B1665" s="781"/>
      <c r="C1665" s="781"/>
      <c r="D1665" s="781"/>
      <c r="E1665" s="781"/>
      <c r="F1665" s="781"/>
      <c r="G1665" s="782"/>
    </row>
    <row r="1666" spans="1:7" x14ac:dyDescent="0.25">
      <c r="A1666" s="507" t="s">
        <v>785</v>
      </c>
      <c r="B1666" s="485" t="s">
        <v>786</v>
      </c>
      <c r="C1666" s="489" t="s">
        <v>787</v>
      </c>
      <c r="D1666" s="490" t="s">
        <v>788</v>
      </c>
      <c r="E1666" s="491" t="s">
        <v>789</v>
      </c>
      <c r="F1666" s="492" t="s">
        <v>790</v>
      </c>
      <c r="G1666" s="509" t="s">
        <v>791</v>
      </c>
    </row>
    <row r="1667" spans="1:7" x14ac:dyDescent="0.25">
      <c r="A1667" s="545">
        <v>88247</v>
      </c>
      <c r="B1667" s="546" t="s">
        <v>792</v>
      </c>
      <c r="C1667" s="499" t="s">
        <v>806</v>
      </c>
      <c r="D1667" s="542" t="s">
        <v>799</v>
      </c>
      <c r="E1667" s="495">
        <v>0.35</v>
      </c>
      <c r="F1667" s="543">
        <v>19.2</v>
      </c>
      <c r="G1667" s="514">
        <f>TRUNC(F1667*E1667,2)</f>
        <v>6.72</v>
      </c>
    </row>
    <row r="1668" spans="1:7" x14ac:dyDescent="0.25">
      <c r="A1668" s="545">
        <v>88264</v>
      </c>
      <c r="B1668" s="546" t="s">
        <v>792</v>
      </c>
      <c r="C1668" s="499" t="s">
        <v>807</v>
      </c>
      <c r="D1668" s="542" t="s">
        <v>799</v>
      </c>
      <c r="E1668" s="495">
        <v>0.35</v>
      </c>
      <c r="F1668" s="543">
        <v>23.24</v>
      </c>
      <c r="G1668" s="514">
        <f>TRUNC(F1668*E1668,2)</f>
        <v>8.1300000000000008</v>
      </c>
    </row>
    <row r="1669" spans="1:7" x14ac:dyDescent="0.25">
      <c r="A1669" s="788" t="s">
        <v>21</v>
      </c>
      <c r="B1669" s="789"/>
      <c r="C1669" s="789"/>
      <c r="D1669" s="789"/>
      <c r="E1669" s="789"/>
      <c r="F1669" s="789"/>
      <c r="G1669" s="511">
        <f>SUM(G1667:G1668)</f>
        <v>14.850000000000001</v>
      </c>
    </row>
    <row r="1670" spans="1:7" x14ac:dyDescent="0.25">
      <c r="A1670" s="780"/>
      <c r="B1670" s="781"/>
      <c r="C1670" s="781"/>
      <c r="D1670" s="781"/>
      <c r="E1670" s="781"/>
      <c r="F1670" s="781"/>
      <c r="G1670" s="782"/>
    </row>
    <row r="1671" spans="1:7" x14ac:dyDescent="0.25">
      <c r="A1671" s="507" t="s">
        <v>785</v>
      </c>
      <c r="B1671" s="485" t="s">
        <v>786</v>
      </c>
      <c r="C1671" s="489" t="s">
        <v>801</v>
      </c>
      <c r="D1671" s="490" t="s">
        <v>788</v>
      </c>
      <c r="E1671" s="496" t="s">
        <v>789</v>
      </c>
      <c r="F1671" s="492" t="s">
        <v>790</v>
      </c>
      <c r="G1671" s="509" t="s">
        <v>791</v>
      </c>
    </row>
    <row r="1672" spans="1:7" ht="30" x14ac:dyDescent="0.25">
      <c r="A1672" s="515">
        <v>2632</v>
      </c>
      <c r="B1672" s="546" t="s">
        <v>817</v>
      </c>
      <c r="C1672" s="501" t="s">
        <v>1567</v>
      </c>
      <c r="D1672" s="539" t="s">
        <v>1566</v>
      </c>
      <c r="E1672" s="498">
        <v>1</v>
      </c>
      <c r="F1672" s="540">
        <v>21.52</v>
      </c>
      <c r="G1672" s="514">
        <f>TRUNC(F1672*E1672,2)</f>
        <v>21.52</v>
      </c>
    </row>
    <row r="1673" spans="1:7" x14ac:dyDescent="0.25">
      <c r="A1673" s="788" t="s">
        <v>21</v>
      </c>
      <c r="B1673" s="789"/>
      <c r="C1673" s="789"/>
      <c r="D1673" s="789"/>
      <c r="E1673" s="789"/>
      <c r="F1673" s="789"/>
      <c r="G1673" s="511">
        <f>SUM(G1672:G1672)</f>
        <v>21.52</v>
      </c>
    </row>
    <row r="1674" spans="1:7" x14ac:dyDescent="0.25">
      <c r="A1674" s="797" t="s">
        <v>796</v>
      </c>
      <c r="B1674" s="786"/>
      <c r="C1674" s="786"/>
      <c r="D1674" s="786"/>
      <c r="E1674" s="786"/>
      <c r="F1674" s="786"/>
      <c r="G1674" s="512">
        <f>G1673+G1669</f>
        <v>36.370000000000005</v>
      </c>
    </row>
    <row r="1675" spans="1:7" x14ac:dyDescent="0.25">
      <c r="A1675" s="806"/>
      <c r="B1675" s="807"/>
      <c r="C1675" s="807"/>
      <c r="D1675" s="807"/>
      <c r="E1675" s="807"/>
      <c r="F1675" s="807"/>
      <c r="G1675" s="808"/>
    </row>
    <row r="1676" spans="1:7" x14ac:dyDescent="0.25">
      <c r="A1676" s="772" t="s">
        <v>1568</v>
      </c>
      <c r="B1676" s="773"/>
      <c r="C1676" s="773"/>
      <c r="D1676" s="773"/>
      <c r="E1676" s="773"/>
      <c r="F1676" s="773"/>
      <c r="G1676" s="774"/>
    </row>
    <row r="1677" spans="1:7" ht="32.25" customHeight="1" x14ac:dyDescent="0.25">
      <c r="A1677" s="772"/>
      <c r="B1677" s="773"/>
      <c r="C1677" s="773"/>
      <c r="D1677" s="773"/>
      <c r="E1677" s="773"/>
      <c r="F1677" s="773"/>
      <c r="G1677" s="774"/>
    </row>
    <row r="1678" spans="1:7" ht="29.25" customHeight="1" x14ac:dyDescent="0.25">
      <c r="A1678" s="790" t="s">
        <v>1569</v>
      </c>
      <c r="B1678" s="791"/>
      <c r="C1678" s="826" t="str">
        <f>C1686</f>
        <v>PORTAO DE ABRIR / GIRO, EM GRADIL DE METALON REDONDO DE 3/4" VERTICAL, COM REQUADRO, ACABAMENTO NATURAL - COMPLETO - FORNECIMENTO E INSTALAÇÃO</v>
      </c>
      <c r="D1678" s="826"/>
      <c r="E1678" s="826"/>
      <c r="F1678" s="826"/>
      <c r="G1678" s="827"/>
    </row>
    <row r="1679" spans="1:7" x14ac:dyDescent="0.25">
      <c r="A1679" s="780"/>
      <c r="B1679" s="781"/>
      <c r="C1679" s="781"/>
      <c r="D1679" s="781"/>
      <c r="E1679" s="781"/>
      <c r="F1679" s="781"/>
      <c r="G1679" s="782"/>
    </row>
    <row r="1680" spans="1:7" x14ac:dyDescent="0.25">
      <c r="A1680" s="507" t="s">
        <v>785</v>
      </c>
      <c r="B1680" s="485" t="s">
        <v>786</v>
      </c>
      <c r="C1680" s="489" t="s">
        <v>787</v>
      </c>
      <c r="D1680" s="490" t="s">
        <v>788</v>
      </c>
      <c r="E1680" s="491" t="s">
        <v>789</v>
      </c>
      <c r="F1680" s="492" t="s">
        <v>790</v>
      </c>
      <c r="G1680" s="509" t="s">
        <v>791</v>
      </c>
    </row>
    <row r="1681" spans="1:7" x14ac:dyDescent="0.25">
      <c r="A1681" s="545">
        <v>88316</v>
      </c>
      <c r="B1681" s="546" t="s">
        <v>792</v>
      </c>
      <c r="C1681" s="499" t="s">
        <v>800</v>
      </c>
      <c r="D1681" s="542" t="s">
        <v>799</v>
      </c>
      <c r="E1681" s="495">
        <v>2.46</v>
      </c>
      <c r="F1681" s="543">
        <v>17.82</v>
      </c>
      <c r="G1681" s="514">
        <f>TRUNC(F1681*E1681,2)</f>
        <v>43.83</v>
      </c>
    </row>
    <row r="1682" spans="1:7" x14ac:dyDescent="0.25">
      <c r="A1682" s="545">
        <v>88309</v>
      </c>
      <c r="B1682" s="546" t="s">
        <v>792</v>
      </c>
      <c r="C1682" s="499" t="s">
        <v>1559</v>
      </c>
      <c r="D1682" s="542" t="s">
        <v>799</v>
      </c>
      <c r="E1682" s="495">
        <v>2.46</v>
      </c>
      <c r="F1682" s="543">
        <v>22.41</v>
      </c>
      <c r="G1682" s="514">
        <f>TRUNC(F1682*E1682,2)</f>
        <v>55.12</v>
      </c>
    </row>
    <row r="1683" spans="1:7" x14ac:dyDescent="0.25">
      <c r="A1683" s="788" t="s">
        <v>21</v>
      </c>
      <c r="B1683" s="789"/>
      <c r="C1683" s="789"/>
      <c r="D1683" s="789"/>
      <c r="E1683" s="789"/>
      <c r="F1683" s="789"/>
      <c r="G1683" s="511">
        <f>SUM(G1681:G1682)</f>
        <v>98.949999999999989</v>
      </c>
    </row>
    <row r="1684" spans="1:7" x14ac:dyDescent="0.25">
      <c r="A1684" s="780"/>
      <c r="B1684" s="781"/>
      <c r="C1684" s="781"/>
      <c r="D1684" s="781"/>
      <c r="E1684" s="781"/>
      <c r="F1684" s="781"/>
      <c r="G1684" s="782"/>
    </row>
    <row r="1685" spans="1:7" x14ac:dyDescent="0.25">
      <c r="A1685" s="507" t="s">
        <v>785</v>
      </c>
      <c r="B1685" s="485" t="s">
        <v>786</v>
      </c>
      <c r="C1685" s="489" t="s">
        <v>801</v>
      </c>
      <c r="D1685" s="490" t="s">
        <v>788</v>
      </c>
      <c r="E1685" s="496" t="s">
        <v>789</v>
      </c>
      <c r="F1685" s="492" t="s">
        <v>790</v>
      </c>
      <c r="G1685" s="509" t="s">
        <v>791</v>
      </c>
    </row>
    <row r="1686" spans="1:7" ht="30" x14ac:dyDescent="0.25">
      <c r="A1686" s="515">
        <v>4948</v>
      </c>
      <c r="B1686" s="546" t="s">
        <v>817</v>
      </c>
      <c r="C1686" s="501" t="s">
        <v>1571</v>
      </c>
      <c r="D1686" s="539" t="s">
        <v>1566</v>
      </c>
      <c r="E1686" s="498">
        <v>1</v>
      </c>
      <c r="F1686" s="540">
        <v>595.28</v>
      </c>
      <c r="G1686" s="514">
        <f>TRUNC(F1686*E1686,2)</f>
        <v>595.28</v>
      </c>
    </row>
    <row r="1687" spans="1:7" x14ac:dyDescent="0.25">
      <c r="A1687" s="788" t="s">
        <v>21</v>
      </c>
      <c r="B1687" s="789"/>
      <c r="C1687" s="789"/>
      <c r="D1687" s="789"/>
      <c r="E1687" s="789"/>
      <c r="F1687" s="789"/>
      <c r="G1687" s="511">
        <f>SUM(G1686:G1686)</f>
        <v>595.28</v>
      </c>
    </row>
    <row r="1688" spans="1:7" x14ac:dyDescent="0.25">
      <c r="A1688" s="797" t="s">
        <v>796</v>
      </c>
      <c r="B1688" s="786"/>
      <c r="C1688" s="786"/>
      <c r="D1688" s="786"/>
      <c r="E1688" s="786"/>
      <c r="F1688" s="786"/>
      <c r="G1688" s="512">
        <f>G1687+G1683</f>
        <v>694.23</v>
      </c>
    </row>
    <row r="1689" spans="1:7" x14ac:dyDescent="0.25">
      <c r="A1689" s="806"/>
      <c r="B1689" s="807"/>
      <c r="C1689" s="807"/>
      <c r="D1689" s="807"/>
      <c r="E1689" s="807"/>
      <c r="F1689" s="807"/>
      <c r="G1689" s="808"/>
    </row>
    <row r="1690" spans="1:7" ht="29.25" customHeight="1" x14ac:dyDescent="0.25">
      <c r="A1690" s="772" t="s">
        <v>1570</v>
      </c>
      <c r="B1690" s="773"/>
      <c r="C1690" s="773"/>
      <c r="D1690" s="773"/>
      <c r="E1690" s="773"/>
      <c r="F1690" s="773"/>
      <c r="G1690" s="774"/>
    </row>
    <row r="1691" spans="1:7" x14ac:dyDescent="0.25">
      <c r="A1691" s="772"/>
      <c r="B1691" s="773"/>
      <c r="C1691" s="773"/>
      <c r="D1691" s="773"/>
      <c r="E1691" s="773"/>
      <c r="F1691" s="773"/>
      <c r="G1691" s="774"/>
    </row>
    <row r="1692" spans="1:7" x14ac:dyDescent="0.25">
      <c r="A1692" s="790" t="s">
        <v>1573</v>
      </c>
      <c r="B1692" s="791"/>
      <c r="C1692" s="798" t="str">
        <f>C1700</f>
        <v>CHAPA DE ACO GALVANIZADA BITOLA GSG 18, E = 1,25 MM (10,00 KG/M2) - FORNECIMENTO E INSTALAÇÃO (1.60mX0.60m)</v>
      </c>
      <c r="D1692" s="798"/>
      <c r="E1692" s="798"/>
      <c r="F1692" s="798"/>
      <c r="G1692" s="799"/>
    </row>
    <row r="1693" spans="1:7" x14ac:dyDescent="0.25">
      <c r="A1693" s="780"/>
      <c r="B1693" s="781"/>
      <c r="C1693" s="781"/>
      <c r="D1693" s="781"/>
      <c r="E1693" s="781"/>
      <c r="F1693" s="781"/>
      <c r="G1693" s="782"/>
    </row>
    <row r="1694" spans="1:7" x14ac:dyDescent="0.25">
      <c r="A1694" s="507" t="s">
        <v>785</v>
      </c>
      <c r="B1694" s="485" t="s">
        <v>786</v>
      </c>
      <c r="C1694" s="489" t="s">
        <v>787</v>
      </c>
      <c r="D1694" s="490" t="s">
        <v>788</v>
      </c>
      <c r="E1694" s="491" t="s">
        <v>789</v>
      </c>
      <c r="F1694" s="492" t="s">
        <v>790</v>
      </c>
      <c r="G1694" s="509" t="s">
        <v>791</v>
      </c>
    </row>
    <row r="1695" spans="1:7" x14ac:dyDescent="0.25">
      <c r="A1695" s="545">
        <v>88316</v>
      </c>
      <c r="B1695" s="546" t="s">
        <v>792</v>
      </c>
      <c r="C1695" s="499" t="s">
        <v>800</v>
      </c>
      <c r="D1695" s="542" t="s">
        <v>799</v>
      </c>
      <c r="E1695" s="495">
        <v>0.75</v>
      </c>
      <c r="F1695" s="543">
        <v>17.82</v>
      </c>
      <c r="G1695" s="514">
        <f>TRUNC(F1695*E1695,2)</f>
        <v>13.36</v>
      </c>
    </row>
    <row r="1696" spans="1:7" x14ac:dyDescent="0.25">
      <c r="A1696" s="545">
        <v>88309</v>
      </c>
      <c r="B1696" s="546" t="s">
        <v>792</v>
      </c>
      <c r="C1696" s="499" t="s">
        <v>1559</v>
      </c>
      <c r="D1696" s="542" t="s">
        <v>799</v>
      </c>
      <c r="E1696" s="495">
        <v>0.54</v>
      </c>
      <c r="F1696" s="543">
        <v>22.41</v>
      </c>
      <c r="G1696" s="514">
        <f>TRUNC(F1696*E1696,2)</f>
        <v>12.1</v>
      </c>
    </row>
    <row r="1697" spans="1:7" x14ac:dyDescent="0.25">
      <c r="A1697" s="788" t="s">
        <v>21</v>
      </c>
      <c r="B1697" s="789"/>
      <c r="C1697" s="789"/>
      <c r="D1697" s="789"/>
      <c r="E1697" s="789"/>
      <c r="F1697" s="789"/>
      <c r="G1697" s="511">
        <f>SUM(G1695:G1696)</f>
        <v>25.46</v>
      </c>
    </row>
    <row r="1698" spans="1:7" x14ac:dyDescent="0.25">
      <c r="A1698" s="780"/>
      <c r="B1698" s="781"/>
      <c r="C1698" s="781"/>
      <c r="D1698" s="781"/>
      <c r="E1698" s="781"/>
      <c r="F1698" s="781"/>
      <c r="G1698" s="782"/>
    </row>
    <row r="1699" spans="1:7" x14ac:dyDescent="0.25">
      <c r="A1699" s="507" t="s">
        <v>785</v>
      </c>
      <c r="B1699" s="485" t="s">
        <v>786</v>
      </c>
      <c r="C1699" s="489" t="s">
        <v>801</v>
      </c>
      <c r="D1699" s="490" t="s">
        <v>788</v>
      </c>
      <c r="E1699" s="496" t="s">
        <v>789</v>
      </c>
      <c r="F1699" s="492" t="s">
        <v>790</v>
      </c>
      <c r="G1699" s="509" t="s">
        <v>791</v>
      </c>
    </row>
    <row r="1700" spans="1:7" ht="30" x14ac:dyDescent="0.25">
      <c r="A1700" s="515">
        <v>11046</v>
      </c>
      <c r="B1700" s="546" t="s">
        <v>817</v>
      </c>
      <c r="C1700" s="501" t="s">
        <v>1574</v>
      </c>
      <c r="D1700" s="539" t="s">
        <v>221</v>
      </c>
      <c r="E1700" s="498">
        <v>15</v>
      </c>
      <c r="F1700" s="540">
        <v>17.97</v>
      </c>
      <c r="G1700" s="514">
        <f>TRUNC(F1700*E1700,2)</f>
        <v>269.55</v>
      </c>
    </row>
    <row r="1701" spans="1:7" x14ac:dyDescent="0.25">
      <c r="A1701" s="788" t="s">
        <v>21</v>
      </c>
      <c r="B1701" s="789"/>
      <c r="C1701" s="789"/>
      <c r="D1701" s="789"/>
      <c r="E1701" s="789"/>
      <c r="F1701" s="789"/>
      <c r="G1701" s="511">
        <f>SUM(G1700:G1700)</f>
        <v>269.55</v>
      </c>
    </row>
    <row r="1702" spans="1:7" x14ac:dyDescent="0.25">
      <c r="A1702" s="797" t="s">
        <v>796</v>
      </c>
      <c r="B1702" s="786"/>
      <c r="C1702" s="786"/>
      <c r="D1702" s="786"/>
      <c r="E1702" s="786"/>
      <c r="F1702" s="786"/>
      <c r="G1702" s="512">
        <f>G1701+G1697</f>
        <v>295.01</v>
      </c>
    </row>
    <row r="1703" spans="1:7" x14ac:dyDescent="0.25">
      <c r="A1703" s="806"/>
      <c r="B1703" s="807"/>
      <c r="C1703" s="807"/>
      <c r="D1703" s="807"/>
      <c r="E1703" s="807"/>
      <c r="F1703" s="807"/>
      <c r="G1703" s="808"/>
    </row>
    <row r="1704" spans="1:7" ht="29.25" customHeight="1" x14ac:dyDescent="0.25">
      <c r="A1704" s="772" t="s">
        <v>1580</v>
      </c>
      <c r="B1704" s="773"/>
      <c r="C1704" s="773"/>
      <c r="D1704" s="773"/>
      <c r="E1704" s="773"/>
      <c r="F1704" s="773"/>
      <c r="G1704" s="774"/>
    </row>
    <row r="1705" spans="1:7" ht="15.75" thickBot="1" x14ac:dyDescent="0.3">
      <c r="A1705" s="836"/>
      <c r="B1705" s="837"/>
      <c r="C1705" s="837"/>
      <c r="D1705" s="837"/>
      <c r="E1705" s="837"/>
      <c r="F1705" s="837"/>
      <c r="G1705" s="838"/>
    </row>
    <row r="1706" spans="1:7" x14ac:dyDescent="0.25">
      <c r="A1706" s="780"/>
      <c r="B1706" s="781"/>
      <c r="C1706" s="781"/>
      <c r="D1706" s="781"/>
      <c r="E1706" s="781"/>
      <c r="F1706" s="781"/>
      <c r="G1706" s="782"/>
    </row>
    <row r="1707" spans="1:7" x14ac:dyDescent="0.25">
      <c r="A1707" s="790" t="s">
        <v>1641</v>
      </c>
      <c r="B1707" s="791"/>
      <c r="C1707" s="798" t="s">
        <v>1642</v>
      </c>
      <c r="D1707" s="798"/>
      <c r="E1707" s="798"/>
      <c r="F1707" s="798"/>
      <c r="G1707" s="799"/>
    </row>
    <row r="1708" spans="1:7" x14ac:dyDescent="0.25">
      <c r="A1708" s="780"/>
      <c r="B1708" s="781"/>
      <c r="C1708" s="781"/>
      <c r="D1708" s="781"/>
      <c r="E1708" s="781"/>
      <c r="F1708" s="781"/>
      <c r="G1708" s="782"/>
    </row>
    <row r="1709" spans="1:7" x14ac:dyDescent="0.25">
      <c r="A1709" s="507" t="s">
        <v>785</v>
      </c>
      <c r="B1709" s="485" t="s">
        <v>786</v>
      </c>
      <c r="C1709" s="489" t="s">
        <v>787</v>
      </c>
      <c r="D1709" s="490" t="s">
        <v>788</v>
      </c>
      <c r="E1709" s="491" t="s">
        <v>789</v>
      </c>
      <c r="F1709" s="492" t="s">
        <v>790</v>
      </c>
      <c r="G1709" s="509" t="s">
        <v>791</v>
      </c>
    </row>
    <row r="1710" spans="1:7" ht="45" x14ac:dyDescent="0.25">
      <c r="A1710" s="545">
        <v>100605</v>
      </c>
      <c r="B1710" s="546" t="s">
        <v>792</v>
      </c>
      <c r="C1710" s="499" t="s">
        <v>1644</v>
      </c>
      <c r="D1710" s="542" t="s">
        <v>62</v>
      </c>
      <c r="E1710" s="495">
        <v>1</v>
      </c>
      <c r="F1710" s="503">
        <v>965.21</v>
      </c>
      <c r="G1710" s="522">
        <f>TRUNC(E1710*F1710,2)</f>
        <v>965.21</v>
      </c>
    </row>
    <row r="1711" spans="1:7" x14ac:dyDescent="0.25">
      <c r="A1711" s="788" t="s">
        <v>21</v>
      </c>
      <c r="B1711" s="789"/>
      <c r="C1711" s="789"/>
      <c r="D1711" s="789"/>
      <c r="E1711" s="789"/>
      <c r="F1711" s="789"/>
      <c r="G1711" s="511">
        <f>SUM(G1710:G1710)</f>
        <v>965.21</v>
      </c>
    </row>
    <row r="1712" spans="1:7" x14ac:dyDescent="0.25">
      <c r="A1712" s="780"/>
      <c r="B1712" s="781"/>
      <c r="C1712" s="781"/>
      <c r="D1712" s="781"/>
      <c r="E1712" s="781"/>
      <c r="F1712" s="781"/>
      <c r="G1712" s="782"/>
    </row>
    <row r="1713" spans="1:7" x14ac:dyDescent="0.25">
      <c r="A1713" s="507" t="s">
        <v>785</v>
      </c>
      <c r="B1713" s="485" t="s">
        <v>786</v>
      </c>
      <c r="C1713" s="489" t="s">
        <v>801</v>
      </c>
      <c r="D1713" s="490" t="s">
        <v>788</v>
      </c>
      <c r="E1713" s="496" t="s">
        <v>789</v>
      </c>
      <c r="F1713" s="492" t="s">
        <v>790</v>
      </c>
      <c r="G1713" s="509" t="s">
        <v>791</v>
      </c>
    </row>
    <row r="1714" spans="1:7" x14ac:dyDescent="0.25">
      <c r="A1714" s="515" t="s">
        <v>1255</v>
      </c>
      <c r="B1714" s="497" t="s">
        <v>808</v>
      </c>
      <c r="C1714" s="501" t="s">
        <v>1643</v>
      </c>
      <c r="D1714" s="539" t="s">
        <v>62</v>
      </c>
      <c r="E1714" s="498">
        <v>1</v>
      </c>
      <c r="F1714" s="540">
        <f>D1721</f>
        <v>3142</v>
      </c>
      <c r="G1714" s="514">
        <f>TRUNC(F1714*E1714,2)</f>
        <v>3142</v>
      </c>
    </row>
    <row r="1715" spans="1:7" x14ac:dyDescent="0.25">
      <c r="A1715" s="780"/>
      <c r="B1715" s="781"/>
      <c r="C1715" s="781"/>
      <c r="D1715" s="781"/>
      <c r="E1715" s="781"/>
      <c r="F1715" s="781"/>
      <c r="G1715" s="782"/>
    </row>
    <row r="1716" spans="1:7" x14ac:dyDescent="0.25">
      <c r="A1716" s="544" t="s">
        <v>809</v>
      </c>
      <c r="B1716" s="802" t="str">
        <f>C1714</f>
        <v>POSTE DE CONCRETO CIRCULAR 10/600</v>
      </c>
      <c r="C1716" s="802"/>
      <c r="D1716" s="802"/>
      <c r="E1716" s="802"/>
      <c r="F1716" s="802"/>
      <c r="G1716" s="809"/>
    </row>
    <row r="1717" spans="1:7" x14ac:dyDescent="0.25">
      <c r="A1717" s="545"/>
      <c r="B1717" s="728" t="s">
        <v>1247</v>
      </c>
      <c r="C1717" s="728"/>
      <c r="D1717" s="784" t="s">
        <v>810</v>
      </c>
      <c r="E1717" s="784"/>
      <c r="F1717" s="541" t="s">
        <v>811</v>
      </c>
      <c r="G1717" s="516" t="s">
        <v>1183</v>
      </c>
    </row>
    <row r="1718" spans="1:7" x14ac:dyDescent="0.25">
      <c r="A1718" s="517">
        <v>44824</v>
      </c>
      <c r="B1718" s="775" t="s">
        <v>1246</v>
      </c>
      <c r="C1718" s="775"/>
      <c r="D1718" s="776">
        <v>3142</v>
      </c>
      <c r="E1718" s="776"/>
      <c r="F1718" s="542" t="s">
        <v>1645</v>
      </c>
      <c r="G1718" s="518" t="s">
        <v>1646</v>
      </c>
    </row>
    <row r="1719" spans="1:7" x14ac:dyDescent="0.25">
      <c r="A1719" s="517">
        <v>44825</v>
      </c>
      <c r="B1719" s="851" t="s">
        <v>1638</v>
      </c>
      <c r="C1719" s="852"/>
      <c r="D1719" s="853">
        <v>5966.25</v>
      </c>
      <c r="E1719" s="854"/>
      <c r="F1719" s="542" t="s">
        <v>1209</v>
      </c>
      <c r="G1719" s="518" t="s">
        <v>1634</v>
      </c>
    </row>
    <row r="1720" spans="1:7" x14ac:dyDescent="0.25">
      <c r="A1720" s="517">
        <v>44826</v>
      </c>
      <c r="B1720" s="851" t="s">
        <v>1640</v>
      </c>
      <c r="C1720" s="852"/>
      <c r="D1720" s="853">
        <v>1968.59</v>
      </c>
      <c r="E1720" s="854"/>
      <c r="F1720" s="542" t="s">
        <v>1639</v>
      </c>
      <c r="G1720" s="518" t="s">
        <v>1637</v>
      </c>
    </row>
    <row r="1721" spans="1:7" x14ac:dyDescent="0.25">
      <c r="A1721" s="787" t="s">
        <v>812</v>
      </c>
      <c r="B1721" s="777"/>
      <c r="C1721" s="777"/>
      <c r="D1721" s="800">
        <f>MEDIAN(D1718:E1720)</f>
        <v>3142</v>
      </c>
      <c r="E1721" s="800"/>
      <c r="F1721" s="800"/>
      <c r="G1721" s="801"/>
    </row>
    <row r="1722" spans="1:7" x14ac:dyDescent="0.25">
      <c r="A1722" s="788" t="s">
        <v>21</v>
      </c>
      <c r="B1722" s="789"/>
      <c r="C1722" s="789"/>
      <c r="D1722" s="789"/>
      <c r="E1722" s="789"/>
      <c r="F1722" s="789"/>
      <c r="G1722" s="511">
        <f>SUM(G1714:G1714)</f>
        <v>3142</v>
      </c>
    </row>
    <row r="1723" spans="1:7" x14ac:dyDescent="0.25">
      <c r="A1723" s="828" t="s">
        <v>796</v>
      </c>
      <c r="B1723" s="829"/>
      <c r="C1723" s="829"/>
      <c r="D1723" s="829"/>
      <c r="E1723" s="829"/>
      <c r="F1723" s="829"/>
      <c r="G1723" s="512">
        <f>G1711+G1722</f>
        <v>4107.21</v>
      </c>
    </row>
    <row r="1724" spans="1:7" x14ac:dyDescent="0.25">
      <c r="A1724" s="803" t="s">
        <v>1648</v>
      </c>
      <c r="B1724" s="804"/>
      <c r="C1724" s="804"/>
      <c r="D1724" s="804"/>
      <c r="E1724" s="804"/>
      <c r="F1724" s="804"/>
      <c r="G1724" s="805"/>
    </row>
    <row r="1725" spans="1:7" x14ac:dyDescent="0.25">
      <c r="A1725" s="803"/>
      <c r="B1725" s="804"/>
      <c r="C1725" s="804"/>
      <c r="D1725" s="804"/>
      <c r="E1725" s="804"/>
      <c r="F1725" s="804"/>
      <c r="G1725" s="805"/>
    </row>
  </sheetData>
  <mergeCells count="1424">
    <mergeCell ref="B1718:C1718"/>
    <mergeCell ref="D1718:E1718"/>
    <mergeCell ref="B1719:C1719"/>
    <mergeCell ref="D1719:E1719"/>
    <mergeCell ref="B1720:C1720"/>
    <mergeCell ref="D1720:E1720"/>
    <mergeCell ref="A1721:C1721"/>
    <mergeCell ref="D1721:G1721"/>
    <mergeCell ref="A1722:F1722"/>
    <mergeCell ref="A1723:F1723"/>
    <mergeCell ref="A1724:G1725"/>
    <mergeCell ref="D1055:E1055"/>
    <mergeCell ref="D1056:E1056"/>
    <mergeCell ref="B1055:C1055"/>
    <mergeCell ref="B1056:C1056"/>
    <mergeCell ref="B1245:C1245"/>
    <mergeCell ref="B1246:C1246"/>
    <mergeCell ref="D1245:E1245"/>
    <mergeCell ref="D1246:E1246"/>
    <mergeCell ref="A1706:G1706"/>
    <mergeCell ref="A1707:B1707"/>
    <mergeCell ref="C1707:G1707"/>
    <mergeCell ref="A1708:G1708"/>
    <mergeCell ref="A1711:F1711"/>
    <mergeCell ref="A1712:G1712"/>
    <mergeCell ref="A1715:G1715"/>
    <mergeCell ref="B1716:G1716"/>
    <mergeCell ref="B1717:C1717"/>
    <mergeCell ref="D1717:E1717"/>
    <mergeCell ref="A1176:G1176"/>
    <mergeCell ref="A1088:F1088"/>
    <mergeCell ref="A1084:F1084"/>
    <mergeCell ref="B463:C463"/>
    <mergeCell ref="A203:F203"/>
    <mergeCell ref="A188:F188"/>
    <mergeCell ref="A173:F173"/>
    <mergeCell ref="A158:F158"/>
    <mergeCell ref="A136:F136"/>
    <mergeCell ref="A121:F121"/>
    <mergeCell ref="A106:F106"/>
    <mergeCell ref="A91:F91"/>
    <mergeCell ref="A76:F76"/>
    <mergeCell ref="A425:C425"/>
    <mergeCell ref="D425:G425"/>
    <mergeCell ref="A418:F418"/>
    <mergeCell ref="A414:F414"/>
    <mergeCell ref="A409:B409"/>
    <mergeCell ref="C409:G409"/>
    <mergeCell ref="B420:G420"/>
    <mergeCell ref="D404:G404"/>
    <mergeCell ref="A404:C404"/>
    <mergeCell ref="A384:G384"/>
    <mergeCell ref="A387:G387"/>
    <mergeCell ref="A388:B388"/>
    <mergeCell ref="C388:G388"/>
    <mergeCell ref="A389:G389"/>
    <mergeCell ref="A408:G408"/>
    <mergeCell ref="A410:G410"/>
    <mergeCell ref="A419:G419"/>
    <mergeCell ref="A405:G405"/>
    <mergeCell ref="B399:G399"/>
    <mergeCell ref="A393:F393"/>
    <mergeCell ref="A397:F397"/>
    <mergeCell ref="A398:F398"/>
    <mergeCell ref="A497:F497"/>
    <mergeCell ref="A487:B487"/>
    <mergeCell ref="C487:G487"/>
    <mergeCell ref="A492:F492"/>
    <mergeCell ref="B498:G498"/>
    <mergeCell ref="A488:G488"/>
    <mergeCell ref="A493:G493"/>
    <mergeCell ref="A504:G504"/>
    <mergeCell ref="A507:G507"/>
    <mergeCell ref="A509:G509"/>
    <mergeCell ref="A482:F482"/>
    <mergeCell ref="A481:F481"/>
    <mergeCell ref="D466:E466"/>
    <mergeCell ref="A477:F477"/>
    <mergeCell ref="B465:C465"/>
    <mergeCell ref="D465:E465"/>
    <mergeCell ref="A471:G471"/>
    <mergeCell ref="A472:B472"/>
    <mergeCell ref="C472:G472"/>
    <mergeCell ref="A467:C467"/>
    <mergeCell ref="A626:F626"/>
    <mergeCell ref="A625:F625"/>
    <mergeCell ref="A621:F621"/>
    <mergeCell ref="A616:B616"/>
    <mergeCell ref="C616:G616"/>
    <mergeCell ref="A611:F611"/>
    <mergeCell ref="A610:F610"/>
    <mergeCell ref="A606:F606"/>
    <mergeCell ref="A601:B601"/>
    <mergeCell ref="C601:G601"/>
    <mergeCell ref="A661:B661"/>
    <mergeCell ref="C661:G661"/>
    <mergeCell ref="A655:F655"/>
    <mergeCell ref="A656:F656"/>
    <mergeCell ref="A646:B646"/>
    <mergeCell ref="C646:G646"/>
    <mergeCell ref="A651:F651"/>
    <mergeCell ref="A647:G647"/>
    <mergeCell ref="A641:F641"/>
    <mergeCell ref="A627:G627"/>
    <mergeCell ref="A632:G632"/>
    <mergeCell ref="A637:G637"/>
    <mergeCell ref="A642:G642"/>
    <mergeCell ref="A645:G645"/>
    <mergeCell ref="A630:G630"/>
    <mergeCell ref="A652:G652"/>
    <mergeCell ref="A657:G657"/>
    <mergeCell ref="A660:G660"/>
    <mergeCell ref="A640:F640"/>
    <mergeCell ref="A636:F636"/>
    <mergeCell ref="A631:B631"/>
    <mergeCell ref="C631:G631"/>
    <mergeCell ref="A781:C781"/>
    <mergeCell ref="D781:G781"/>
    <mergeCell ref="A774:F774"/>
    <mergeCell ref="A773:F773"/>
    <mergeCell ref="A769:F769"/>
    <mergeCell ref="A764:B764"/>
    <mergeCell ref="C764:G764"/>
    <mergeCell ref="D759:G759"/>
    <mergeCell ref="A759:C759"/>
    <mergeCell ref="A699:G699"/>
    <mergeCell ref="A704:G704"/>
    <mergeCell ref="A709:G709"/>
    <mergeCell ref="A716:G716"/>
    <mergeCell ref="A719:G719"/>
    <mergeCell ref="A726:G726"/>
    <mergeCell ref="A731:G731"/>
    <mergeCell ref="A738:G738"/>
    <mergeCell ref="A721:G721"/>
    <mergeCell ref="A737:C737"/>
    <mergeCell ref="D737:G737"/>
    <mergeCell ref="A730:F730"/>
    <mergeCell ref="A729:F729"/>
    <mergeCell ref="A725:F725"/>
    <mergeCell ref="D778:E778"/>
    <mergeCell ref="A720:B720"/>
    <mergeCell ref="C720:G720"/>
    <mergeCell ref="A715:C715"/>
    <mergeCell ref="D715:G715"/>
    <mergeCell ref="A708:F708"/>
    <mergeCell ref="A707:F707"/>
    <mergeCell ref="B710:G710"/>
    <mergeCell ref="A703:F703"/>
    <mergeCell ref="A796:F796"/>
    <mergeCell ref="A795:F795"/>
    <mergeCell ref="A791:F791"/>
    <mergeCell ref="D802:G802"/>
    <mergeCell ref="A855:F855"/>
    <mergeCell ref="A854:F854"/>
    <mergeCell ref="A850:F850"/>
    <mergeCell ref="A845:B845"/>
    <mergeCell ref="C845:G845"/>
    <mergeCell ref="A840:C840"/>
    <mergeCell ref="D840:G840"/>
    <mergeCell ref="A832:F832"/>
    <mergeCell ref="A833:F833"/>
    <mergeCell ref="B835:G835"/>
    <mergeCell ref="A819:G819"/>
    <mergeCell ref="A822:G822"/>
    <mergeCell ref="A829:G829"/>
    <mergeCell ref="A824:G824"/>
    <mergeCell ref="A834:G834"/>
    <mergeCell ref="A841:G841"/>
    <mergeCell ref="A844:G844"/>
    <mergeCell ref="A846:G846"/>
    <mergeCell ref="A851:G851"/>
    <mergeCell ref="A823:B823"/>
    <mergeCell ref="C823:G823"/>
    <mergeCell ref="A828:F828"/>
    <mergeCell ref="B800:C800"/>
    <mergeCell ref="D800:E800"/>
    <mergeCell ref="A804:G805"/>
    <mergeCell ref="B836:C836"/>
    <mergeCell ref="D836:E836"/>
    <mergeCell ref="A820:G821"/>
    <mergeCell ref="A972:F972"/>
    <mergeCell ref="A971:F971"/>
    <mergeCell ref="A962:B962"/>
    <mergeCell ref="C962:G962"/>
    <mergeCell ref="A967:F967"/>
    <mergeCell ref="A957:F957"/>
    <mergeCell ref="A956:F956"/>
    <mergeCell ref="A948:B948"/>
    <mergeCell ref="C948:G948"/>
    <mergeCell ref="A952:F952"/>
    <mergeCell ref="A953:G953"/>
    <mergeCell ref="A818:F818"/>
    <mergeCell ref="A817:F817"/>
    <mergeCell ref="A813:F813"/>
    <mergeCell ref="A808:B808"/>
    <mergeCell ref="C808:G808"/>
    <mergeCell ref="A802:C802"/>
    <mergeCell ref="A863:G863"/>
    <mergeCell ref="A866:G866"/>
    <mergeCell ref="A868:G868"/>
    <mergeCell ref="A873:G873"/>
    <mergeCell ref="A878:G878"/>
    <mergeCell ref="A881:G881"/>
    <mergeCell ref="A883:G883"/>
    <mergeCell ref="A888:G888"/>
    <mergeCell ref="A893:G893"/>
    <mergeCell ref="A892:F892"/>
    <mergeCell ref="A891:F891"/>
    <mergeCell ref="A882:B882"/>
    <mergeCell ref="C882:G882"/>
    <mergeCell ref="A887:F887"/>
    <mergeCell ref="A877:F877"/>
    <mergeCell ref="A1001:F1001"/>
    <mergeCell ref="D1008:G1008"/>
    <mergeCell ref="A997:F997"/>
    <mergeCell ref="A992:B992"/>
    <mergeCell ref="C992:G992"/>
    <mergeCell ref="A1002:F1002"/>
    <mergeCell ref="A1047:F1047"/>
    <mergeCell ref="A1038:F1038"/>
    <mergeCell ref="A1037:F1037"/>
    <mergeCell ref="A1033:F1033"/>
    <mergeCell ref="A1028:B1028"/>
    <mergeCell ref="C1028:G1028"/>
    <mergeCell ref="A1023:F1023"/>
    <mergeCell ref="A1022:F1022"/>
    <mergeCell ref="A1018:F1018"/>
    <mergeCell ref="A1014:G1014"/>
    <mergeCell ref="A1019:G1019"/>
    <mergeCell ref="A1024:G1024"/>
    <mergeCell ref="A1027:G1027"/>
    <mergeCell ref="A1029:G1029"/>
    <mergeCell ref="A1034:G1034"/>
    <mergeCell ref="A1039:G1039"/>
    <mergeCell ref="A1042:G1042"/>
    <mergeCell ref="A1044:G1044"/>
    <mergeCell ref="A1043:B1043"/>
    <mergeCell ref="C1043:G1043"/>
    <mergeCell ref="A1040:G1041"/>
    <mergeCell ref="A1013:B1013"/>
    <mergeCell ref="C1013:G1013"/>
    <mergeCell ref="B1090:G1090"/>
    <mergeCell ref="D1093:E1093"/>
    <mergeCell ref="A1060:G1060"/>
    <mergeCell ref="A1061:G1062"/>
    <mergeCell ref="A1076:G1077"/>
    <mergeCell ref="A1079:B1079"/>
    <mergeCell ref="C1079:G1079"/>
    <mergeCell ref="A1089:F1089"/>
    <mergeCell ref="A1074:F1074"/>
    <mergeCell ref="A1073:F1073"/>
    <mergeCell ref="A1069:F1069"/>
    <mergeCell ref="B1091:C1091"/>
    <mergeCell ref="D1091:E1091"/>
    <mergeCell ref="B1092:C1092"/>
    <mergeCell ref="A1008:C1008"/>
    <mergeCell ref="B1136:C1136"/>
    <mergeCell ref="D1136:E1136"/>
    <mergeCell ref="B1137:C1137"/>
    <mergeCell ref="D1137:E1137"/>
    <mergeCell ref="A1140:G1141"/>
    <mergeCell ref="B1156:C1156"/>
    <mergeCell ref="D1156:E1156"/>
    <mergeCell ref="A1160:G1160"/>
    <mergeCell ref="A1164:G1164"/>
    <mergeCell ref="A1166:G1166"/>
    <mergeCell ref="A1172:G1172"/>
    <mergeCell ref="A1143:B1143"/>
    <mergeCell ref="C1143:G1143"/>
    <mergeCell ref="A1152:F1152"/>
    <mergeCell ref="D1092:E1092"/>
    <mergeCell ref="B1093:C1093"/>
    <mergeCell ref="B1094:C1094"/>
    <mergeCell ref="D1094:E1094"/>
    <mergeCell ref="A1097:G1098"/>
    <mergeCell ref="B1111:C1111"/>
    <mergeCell ref="D1111:E1111"/>
    <mergeCell ref="B1112:C1112"/>
    <mergeCell ref="D1112:E1112"/>
    <mergeCell ref="A1096:G1096"/>
    <mergeCell ref="A1099:G1099"/>
    <mergeCell ref="A1101:G1101"/>
    <mergeCell ref="A1106:G1106"/>
    <mergeCell ref="A1095:C1095"/>
    <mergeCell ref="D1095:G1095"/>
    <mergeCell ref="A1233:B1233"/>
    <mergeCell ref="C1233:G1233"/>
    <mergeCell ref="A1228:F1228"/>
    <mergeCell ref="A1227:F1227"/>
    <mergeCell ref="A1223:F1223"/>
    <mergeCell ref="A1219:B1219"/>
    <mergeCell ref="C1219:G1219"/>
    <mergeCell ref="A1214:F1214"/>
    <mergeCell ref="A1213:F1213"/>
    <mergeCell ref="A1206:G1206"/>
    <mergeCell ref="A1210:G1210"/>
    <mergeCell ref="A1215:G1215"/>
    <mergeCell ref="A1218:G1218"/>
    <mergeCell ref="A1220:G1220"/>
    <mergeCell ref="A1224:G1224"/>
    <mergeCell ref="A1232:G1232"/>
    <mergeCell ref="A1229:G1229"/>
    <mergeCell ref="A1230:G1231"/>
    <mergeCell ref="A1277:B1277"/>
    <mergeCell ref="C1277:G1277"/>
    <mergeCell ref="A1293:C1293"/>
    <mergeCell ref="A1272:C1272"/>
    <mergeCell ref="D1272:G1272"/>
    <mergeCell ref="B1267:G1267"/>
    <mergeCell ref="A1265:F1265"/>
    <mergeCell ref="A1264:F1264"/>
    <mergeCell ref="A1260:F1260"/>
    <mergeCell ref="A1313:B1313"/>
    <mergeCell ref="C1313:G1313"/>
    <mergeCell ref="B1325:G1325"/>
    <mergeCell ref="A1308:F1308"/>
    <mergeCell ref="B1307:F1307"/>
    <mergeCell ref="A1299:B1299"/>
    <mergeCell ref="C1299:G1299"/>
    <mergeCell ref="A1303:F1303"/>
    <mergeCell ref="A1298:G1298"/>
    <mergeCell ref="A1314:G1314"/>
    <mergeCell ref="A1319:G1319"/>
    <mergeCell ref="A1324:G1324"/>
    <mergeCell ref="A1323:F1323"/>
    <mergeCell ref="A1322:F1322"/>
    <mergeCell ref="A1278:G1278"/>
    <mergeCell ref="A1283:G1283"/>
    <mergeCell ref="A1287:G1287"/>
    <mergeCell ref="A1295:G1295"/>
    <mergeCell ref="A1300:G1300"/>
    <mergeCell ref="A1304:G1304"/>
    <mergeCell ref="A1309:G1309"/>
    <mergeCell ref="A1312:G1312"/>
    <mergeCell ref="A1294:F1294"/>
    <mergeCell ref="A1366:F1366"/>
    <mergeCell ref="A1362:F1362"/>
    <mergeCell ref="A1357:B1357"/>
    <mergeCell ref="C1357:G1357"/>
    <mergeCell ref="A1367:F1367"/>
    <mergeCell ref="A1373:C1373"/>
    <mergeCell ref="A1394:C1394"/>
    <mergeCell ref="A1351:C1351"/>
    <mergeCell ref="D1351:G1351"/>
    <mergeCell ref="A1422:B1422"/>
    <mergeCell ref="C1422:G1422"/>
    <mergeCell ref="A1427:F1427"/>
    <mergeCell ref="D1417:G1417"/>
    <mergeCell ref="A1409:F1409"/>
    <mergeCell ref="A1410:F1410"/>
    <mergeCell ref="A1405:F1405"/>
    <mergeCell ref="A1401:G1401"/>
    <mergeCell ref="A1400:B1400"/>
    <mergeCell ref="C1400:G1400"/>
    <mergeCell ref="B1412:G1412"/>
    <mergeCell ref="D1373:G1373"/>
    <mergeCell ref="D1393:E1393"/>
    <mergeCell ref="B1413:C1413"/>
    <mergeCell ref="D1413:E1413"/>
    <mergeCell ref="B1414:C1414"/>
    <mergeCell ref="D1414:E1414"/>
    <mergeCell ref="B1415:C1415"/>
    <mergeCell ref="D1415:E1415"/>
    <mergeCell ref="B1416:C1416"/>
    <mergeCell ref="D1416:E1416"/>
    <mergeCell ref="B1417:C1417"/>
    <mergeCell ref="A1419:G1420"/>
    <mergeCell ref="A1467:B1467"/>
    <mergeCell ref="C1467:G1467"/>
    <mergeCell ref="A1462:F1462"/>
    <mergeCell ref="A1461:F1461"/>
    <mergeCell ref="A1457:F1457"/>
    <mergeCell ref="A1453:G1453"/>
    <mergeCell ref="A1452:B1452"/>
    <mergeCell ref="C1452:G1452"/>
    <mergeCell ref="A1447:F1447"/>
    <mergeCell ref="A1502:F1502"/>
    <mergeCell ref="A1497:B1497"/>
    <mergeCell ref="C1497:G1497"/>
    <mergeCell ref="A1492:F1492"/>
    <mergeCell ref="A1491:F1491"/>
    <mergeCell ref="A1487:F1487"/>
    <mergeCell ref="A1482:B1482"/>
    <mergeCell ref="C1482:G1482"/>
    <mergeCell ref="A1477:F1477"/>
    <mergeCell ref="A1468:G1468"/>
    <mergeCell ref="A1473:G1473"/>
    <mergeCell ref="A1478:G1478"/>
    <mergeCell ref="A1481:G1481"/>
    <mergeCell ref="A1483:G1483"/>
    <mergeCell ref="A1488:G1488"/>
    <mergeCell ref="A1493:G1493"/>
    <mergeCell ref="A1496:G1496"/>
    <mergeCell ref="A1498:G1498"/>
    <mergeCell ref="A1476:F1476"/>
    <mergeCell ref="A1472:F1472"/>
    <mergeCell ref="A1464:G1465"/>
    <mergeCell ref="A1449:G1450"/>
    <mergeCell ref="A1466:G1466"/>
    <mergeCell ref="A1618:F1618"/>
    <mergeCell ref="A1617:F1617"/>
    <mergeCell ref="A1622:B1622"/>
    <mergeCell ref="C1622:G1622"/>
    <mergeCell ref="A1606:G1607"/>
    <mergeCell ref="A1613:F1613"/>
    <mergeCell ref="A1614:G1614"/>
    <mergeCell ref="A1619:G1619"/>
    <mergeCell ref="A1620:G1621"/>
    <mergeCell ref="A1623:G1623"/>
    <mergeCell ref="A1585:F1585"/>
    <mergeCell ref="A1586:G1586"/>
    <mergeCell ref="A1591:G1591"/>
    <mergeCell ref="A1592:G1593"/>
    <mergeCell ref="A1599:F1599"/>
    <mergeCell ref="A1600:G1600"/>
    <mergeCell ref="A1605:G1605"/>
    <mergeCell ref="A1595:G1595"/>
    <mergeCell ref="A1609:G1609"/>
    <mergeCell ref="A1608:B1608"/>
    <mergeCell ref="C1608:G1608"/>
    <mergeCell ref="A1604:F1604"/>
    <mergeCell ref="A1603:F1603"/>
    <mergeCell ref="A1594:B1594"/>
    <mergeCell ref="C1594:G1594"/>
    <mergeCell ref="A1590:F1590"/>
    <mergeCell ref="A1589:F1589"/>
    <mergeCell ref="A1580:B1580"/>
    <mergeCell ref="C1580:G1580"/>
    <mergeCell ref="A1576:F1576"/>
    <mergeCell ref="A1575:F1575"/>
    <mergeCell ref="A1566:B1566"/>
    <mergeCell ref="C1566:G1566"/>
    <mergeCell ref="A1562:F1562"/>
    <mergeCell ref="A1572:G1572"/>
    <mergeCell ref="A1578:G1579"/>
    <mergeCell ref="A1577:G1577"/>
    <mergeCell ref="A1571:F1571"/>
    <mergeCell ref="A1563:G1563"/>
    <mergeCell ref="A1567:G1567"/>
    <mergeCell ref="A1581:G1581"/>
    <mergeCell ref="A1561:F1561"/>
    <mergeCell ref="A1557:F1557"/>
    <mergeCell ref="A1547:B1547"/>
    <mergeCell ref="C1547:G1547"/>
    <mergeCell ref="A1543:F1543"/>
    <mergeCell ref="A1542:F1542"/>
    <mergeCell ref="A1503:G1503"/>
    <mergeCell ref="A1508:G1508"/>
    <mergeCell ref="A1511:G1511"/>
    <mergeCell ref="A1513:G1513"/>
    <mergeCell ref="A1518:G1518"/>
    <mergeCell ref="A1523:G1523"/>
    <mergeCell ref="A1530:G1530"/>
    <mergeCell ref="A1533:G1533"/>
    <mergeCell ref="A1535:G1535"/>
    <mergeCell ref="A1522:F1522"/>
    <mergeCell ref="A1521:F1521"/>
    <mergeCell ref="A1517:F1517"/>
    <mergeCell ref="A1512:B1512"/>
    <mergeCell ref="C1512:G1512"/>
    <mergeCell ref="D1529:G1529"/>
    <mergeCell ref="A1507:F1507"/>
    <mergeCell ref="A1506:F1506"/>
    <mergeCell ref="B1524:G1524"/>
    <mergeCell ref="B1525:C1525"/>
    <mergeCell ref="D1525:E1525"/>
    <mergeCell ref="B1526:C1526"/>
    <mergeCell ref="D1526:E1526"/>
    <mergeCell ref="B1527:C1527"/>
    <mergeCell ref="D1527:E1527"/>
    <mergeCell ref="A1544:G1544"/>
    <mergeCell ref="A1545:G1546"/>
    <mergeCell ref="A1538:F1538"/>
    <mergeCell ref="A1534:B1534"/>
    <mergeCell ref="C1534:G1534"/>
    <mergeCell ref="A1539:G1539"/>
    <mergeCell ref="A1548:G1548"/>
    <mergeCell ref="A1558:G1558"/>
    <mergeCell ref="A1442:F1442"/>
    <mergeCell ref="B1446:F1446"/>
    <mergeCell ref="A1438:G1438"/>
    <mergeCell ref="A1437:B1437"/>
    <mergeCell ref="C1437:G1437"/>
    <mergeCell ref="A1432:F1432"/>
    <mergeCell ref="A1431:F1431"/>
    <mergeCell ref="A1368:G1368"/>
    <mergeCell ref="A1374:G1374"/>
    <mergeCell ref="A1378:G1378"/>
    <mergeCell ref="A1380:G1380"/>
    <mergeCell ref="A1385:G1385"/>
    <mergeCell ref="A1390:G1390"/>
    <mergeCell ref="A1395:G1395"/>
    <mergeCell ref="A1399:G1399"/>
    <mergeCell ref="A1406:G1406"/>
    <mergeCell ref="D1394:G1394"/>
    <mergeCell ref="A1388:F1388"/>
    <mergeCell ref="A1384:F1384"/>
    <mergeCell ref="A1379:B1379"/>
    <mergeCell ref="C1379:G1379"/>
    <mergeCell ref="B1391:G1391"/>
    <mergeCell ref="B1369:G1369"/>
    <mergeCell ref="A1434:G1435"/>
    <mergeCell ref="A1411:G1411"/>
    <mergeCell ref="A1418:G1418"/>
    <mergeCell ref="A1421:G1421"/>
    <mergeCell ref="A1423:G1423"/>
    <mergeCell ref="A1331:G1331"/>
    <mergeCell ref="A1334:G1334"/>
    <mergeCell ref="A1336:G1336"/>
    <mergeCell ref="A1341:G1341"/>
    <mergeCell ref="A1346:G1346"/>
    <mergeCell ref="A1352:G1352"/>
    <mergeCell ref="B1347:G1347"/>
    <mergeCell ref="A1335:B1335"/>
    <mergeCell ref="C1335:G1335"/>
    <mergeCell ref="A1340:F1340"/>
    <mergeCell ref="A1344:F1344"/>
    <mergeCell ref="A1330:C1330"/>
    <mergeCell ref="D1330:G1330"/>
    <mergeCell ref="D1372:E1372"/>
    <mergeCell ref="A1375:G1376"/>
    <mergeCell ref="A1353:G1354"/>
    <mergeCell ref="B1372:C1372"/>
    <mergeCell ref="B1370:C1370"/>
    <mergeCell ref="D1370:E1370"/>
    <mergeCell ref="B1371:C1371"/>
    <mergeCell ref="D1371:E1371"/>
    <mergeCell ref="A1356:G1356"/>
    <mergeCell ref="A1358:G1358"/>
    <mergeCell ref="A1363:G1363"/>
    <mergeCell ref="A1396:G1397"/>
    <mergeCell ref="C1389:F1389"/>
    <mergeCell ref="B1392:C1392"/>
    <mergeCell ref="D1392:E1392"/>
    <mergeCell ref="D1293:G1293"/>
    <mergeCell ref="B1288:G1288"/>
    <mergeCell ref="A1286:F1286"/>
    <mergeCell ref="A1282:F1282"/>
    <mergeCell ref="A1310:G1311"/>
    <mergeCell ref="B1348:C1348"/>
    <mergeCell ref="D1348:E1348"/>
    <mergeCell ref="B1349:C1349"/>
    <mergeCell ref="A1234:G1234"/>
    <mergeCell ref="A1238:G1238"/>
    <mergeCell ref="A1241:G1241"/>
    <mergeCell ref="A1254:G1254"/>
    <mergeCell ref="A1261:G1261"/>
    <mergeCell ref="A1266:G1266"/>
    <mergeCell ref="A1273:G1273"/>
    <mergeCell ref="A1256:G1256"/>
    <mergeCell ref="A1276:G1276"/>
    <mergeCell ref="A1255:B1255"/>
    <mergeCell ref="C1255:G1255"/>
    <mergeCell ref="A1249:F1249"/>
    <mergeCell ref="A1248:F1248"/>
    <mergeCell ref="A1247:C1247"/>
    <mergeCell ref="D1247:G1247"/>
    <mergeCell ref="A1237:F1237"/>
    <mergeCell ref="B1242:G1242"/>
    <mergeCell ref="D1269:E1269"/>
    <mergeCell ref="B1270:C1270"/>
    <mergeCell ref="D1270:E1270"/>
    <mergeCell ref="B1271:C1271"/>
    <mergeCell ref="D1271:E1271"/>
    <mergeCell ref="B1244:C1244"/>
    <mergeCell ref="D1244:E1244"/>
    <mergeCell ref="A1253:G1253"/>
    <mergeCell ref="B1268:C1268"/>
    <mergeCell ref="D1268:E1268"/>
    <mergeCell ref="A1048:G1048"/>
    <mergeCell ref="A1051:G1051"/>
    <mergeCell ref="A1064:G1064"/>
    <mergeCell ref="A1066:G1066"/>
    <mergeCell ref="A1070:G1070"/>
    <mergeCell ref="A1075:G1075"/>
    <mergeCell ref="A1078:G1078"/>
    <mergeCell ref="A1080:G1080"/>
    <mergeCell ref="A1085:G1085"/>
    <mergeCell ref="A1065:B1065"/>
    <mergeCell ref="C1065:G1065"/>
    <mergeCell ref="A1059:F1059"/>
    <mergeCell ref="A1058:F1058"/>
    <mergeCell ref="D1057:G1057"/>
    <mergeCell ref="A1057:C1057"/>
    <mergeCell ref="A1063:G1063"/>
    <mergeCell ref="A1181:G1181"/>
    <mergeCell ref="A1184:G1184"/>
    <mergeCell ref="A1186:G1186"/>
    <mergeCell ref="A1192:G1192"/>
    <mergeCell ref="A1196:G1196"/>
    <mergeCell ref="A1201:G1201"/>
    <mergeCell ref="A1204:G1204"/>
    <mergeCell ref="A1163:G1163"/>
    <mergeCell ref="B1157:C1157"/>
    <mergeCell ref="D1157:E1157"/>
    <mergeCell ref="B1158:C1158"/>
    <mergeCell ref="D1158:E1158"/>
    <mergeCell ref="A1205:B1205"/>
    <mergeCell ref="A973:G973"/>
    <mergeCell ref="A976:G976"/>
    <mergeCell ref="A983:G983"/>
    <mergeCell ref="A988:G988"/>
    <mergeCell ref="A991:G991"/>
    <mergeCell ref="A993:G993"/>
    <mergeCell ref="A998:G998"/>
    <mergeCell ref="A1009:G1009"/>
    <mergeCell ref="A1012:G1012"/>
    <mergeCell ref="A987:F987"/>
    <mergeCell ref="A986:F986"/>
    <mergeCell ref="A982:F982"/>
    <mergeCell ref="A977:B977"/>
    <mergeCell ref="C977:G977"/>
    <mergeCell ref="A978:G978"/>
    <mergeCell ref="A926:G926"/>
    <mergeCell ref="A928:G928"/>
    <mergeCell ref="A933:G933"/>
    <mergeCell ref="A944:G944"/>
    <mergeCell ref="A949:G949"/>
    <mergeCell ref="A958:G958"/>
    <mergeCell ref="A961:G961"/>
    <mergeCell ref="A963:G963"/>
    <mergeCell ref="A968:G968"/>
    <mergeCell ref="A943:C943"/>
    <mergeCell ref="D943:G943"/>
    <mergeCell ref="B938:G938"/>
    <mergeCell ref="A937:F937"/>
    <mergeCell ref="A936:F936"/>
    <mergeCell ref="A932:F932"/>
    <mergeCell ref="A927:B927"/>
    <mergeCell ref="C927:G927"/>
    <mergeCell ref="A876:F876"/>
    <mergeCell ref="A872:F872"/>
    <mergeCell ref="A867:B867"/>
    <mergeCell ref="C867:G867"/>
    <mergeCell ref="A782:G782"/>
    <mergeCell ref="A785:G785"/>
    <mergeCell ref="A787:G787"/>
    <mergeCell ref="A792:G792"/>
    <mergeCell ref="A803:G803"/>
    <mergeCell ref="A797:G797"/>
    <mergeCell ref="A807:G807"/>
    <mergeCell ref="A809:G809"/>
    <mergeCell ref="A814:G814"/>
    <mergeCell ref="A786:B786"/>
    <mergeCell ref="C786:G786"/>
    <mergeCell ref="A741:G741"/>
    <mergeCell ref="A743:G743"/>
    <mergeCell ref="A753:G753"/>
    <mergeCell ref="A748:G748"/>
    <mergeCell ref="A760:G760"/>
    <mergeCell ref="A763:G763"/>
    <mergeCell ref="A765:G765"/>
    <mergeCell ref="A770:G770"/>
    <mergeCell ref="A775:G775"/>
    <mergeCell ref="B754:G754"/>
    <mergeCell ref="A751:F751"/>
    <mergeCell ref="A752:F752"/>
    <mergeCell ref="A742:B742"/>
    <mergeCell ref="C742:G742"/>
    <mergeCell ref="A747:F747"/>
    <mergeCell ref="B801:C801"/>
    <mergeCell ref="D799:E799"/>
    <mergeCell ref="A667:G667"/>
    <mergeCell ref="A672:G672"/>
    <mergeCell ref="A675:G675"/>
    <mergeCell ref="A682:G682"/>
    <mergeCell ref="A687:G687"/>
    <mergeCell ref="A694:G694"/>
    <mergeCell ref="A677:G677"/>
    <mergeCell ref="A697:G697"/>
    <mergeCell ref="A671:F671"/>
    <mergeCell ref="A670:F670"/>
    <mergeCell ref="A666:F666"/>
    <mergeCell ref="B690:C690"/>
    <mergeCell ref="D711:E711"/>
    <mergeCell ref="D690:E690"/>
    <mergeCell ref="B691:C691"/>
    <mergeCell ref="B711:C711"/>
    <mergeCell ref="A681:F681"/>
    <mergeCell ref="A676:B676"/>
    <mergeCell ref="C676:G676"/>
    <mergeCell ref="D712:E712"/>
    <mergeCell ref="B713:C713"/>
    <mergeCell ref="D713:E713"/>
    <mergeCell ref="A698:B698"/>
    <mergeCell ref="C698:G698"/>
    <mergeCell ref="A693:C693"/>
    <mergeCell ref="D693:G693"/>
    <mergeCell ref="A686:F686"/>
    <mergeCell ref="A685:F685"/>
    <mergeCell ref="A612:G612"/>
    <mergeCell ref="A615:G615"/>
    <mergeCell ref="A617:G617"/>
    <mergeCell ref="A622:G622"/>
    <mergeCell ref="A596:F596"/>
    <mergeCell ref="A595:F595"/>
    <mergeCell ref="A551:G551"/>
    <mergeCell ref="A556:G556"/>
    <mergeCell ref="A563:G563"/>
    <mergeCell ref="A566:G566"/>
    <mergeCell ref="A568:G568"/>
    <mergeCell ref="A572:G572"/>
    <mergeCell ref="A580:G580"/>
    <mergeCell ref="A582:G582"/>
    <mergeCell ref="A588:G588"/>
    <mergeCell ref="A562:C562"/>
    <mergeCell ref="D562:G562"/>
    <mergeCell ref="A555:F555"/>
    <mergeCell ref="A554:F554"/>
    <mergeCell ref="B557:G557"/>
    <mergeCell ref="A591:F591"/>
    <mergeCell ref="A581:B581"/>
    <mergeCell ref="A662:G662"/>
    <mergeCell ref="A571:F571"/>
    <mergeCell ref="A567:B567"/>
    <mergeCell ref="C567:G567"/>
    <mergeCell ref="A447:G447"/>
    <mergeCell ref="A450:G450"/>
    <mergeCell ref="A457:G457"/>
    <mergeCell ref="A468:G468"/>
    <mergeCell ref="A452:G452"/>
    <mergeCell ref="A446:C446"/>
    <mergeCell ref="D446:G446"/>
    <mergeCell ref="A439:F439"/>
    <mergeCell ref="A435:F435"/>
    <mergeCell ref="A430:B430"/>
    <mergeCell ref="C430:G430"/>
    <mergeCell ref="B441:G441"/>
    <mergeCell ref="B445:C445"/>
    <mergeCell ref="D445:E445"/>
    <mergeCell ref="A514:G514"/>
    <mergeCell ref="A518:G518"/>
    <mergeCell ref="A526:G526"/>
    <mergeCell ref="A525:F525"/>
    <mergeCell ref="A524:C524"/>
    <mergeCell ref="D524:G524"/>
    <mergeCell ref="A517:F517"/>
    <mergeCell ref="A473:G473"/>
    <mergeCell ref="A478:G478"/>
    <mergeCell ref="A483:G483"/>
    <mergeCell ref="A486:G486"/>
    <mergeCell ref="A461:F461"/>
    <mergeCell ref="A460:F460"/>
    <mergeCell ref="A451:B451"/>
    <mergeCell ref="C451:G451"/>
    <mergeCell ref="D320:G320"/>
    <mergeCell ref="D299:G299"/>
    <mergeCell ref="A345:G345"/>
    <mergeCell ref="A346:B346"/>
    <mergeCell ref="C346:G346"/>
    <mergeCell ref="A347:G347"/>
    <mergeCell ref="A351:F351"/>
    <mergeCell ref="A352:G352"/>
    <mergeCell ref="A325:B325"/>
    <mergeCell ref="C325:G325"/>
    <mergeCell ref="A326:G326"/>
    <mergeCell ref="A330:F330"/>
    <mergeCell ref="A331:G331"/>
    <mergeCell ref="A334:F334"/>
    <mergeCell ref="A335:F335"/>
    <mergeCell ref="B336:G336"/>
    <mergeCell ref="A341:C341"/>
    <mergeCell ref="D341:G341"/>
    <mergeCell ref="A324:G324"/>
    <mergeCell ref="D340:E340"/>
    <mergeCell ref="B339:C339"/>
    <mergeCell ref="D339:E339"/>
    <mergeCell ref="B340:C340"/>
    <mergeCell ref="A292:F292"/>
    <mergeCell ref="A293:F293"/>
    <mergeCell ref="A299:C299"/>
    <mergeCell ref="A300:G300"/>
    <mergeCell ref="A303:G303"/>
    <mergeCell ref="A305:G305"/>
    <mergeCell ref="A304:B304"/>
    <mergeCell ref="C304:G304"/>
    <mergeCell ref="A269:G269"/>
    <mergeCell ref="A273:F273"/>
    <mergeCell ref="A274:G274"/>
    <mergeCell ref="A277:F277"/>
    <mergeCell ref="A278:F278"/>
    <mergeCell ref="A279:G279"/>
    <mergeCell ref="A282:G282"/>
    <mergeCell ref="A283:B283"/>
    <mergeCell ref="C283:G283"/>
    <mergeCell ref="B296:C296"/>
    <mergeCell ref="D296:E296"/>
    <mergeCell ref="C268:G268"/>
    <mergeCell ref="A262:F262"/>
    <mergeCell ref="A237:G237"/>
    <mergeCell ref="A238:B238"/>
    <mergeCell ref="C238:G238"/>
    <mergeCell ref="A239:G239"/>
    <mergeCell ref="A243:F243"/>
    <mergeCell ref="A244:G244"/>
    <mergeCell ref="A248:F248"/>
    <mergeCell ref="A249:G249"/>
    <mergeCell ref="A252:G252"/>
    <mergeCell ref="A247:F247"/>
    <mergeCell ref="A250:G251"/>
    <mergeCell ref="A265:G266"/>
    <mergeCell ref="A284:G284"/>
    <mergeCell ref="A288:F288"/>
    <mergeCell ref="A289:G289"/>
    <mergeCell ref="A280:G281"/>
    <mergeCell ref="A268:B268"/>
    <mergeCell ref="A204:F204"/>
    <mergeCell ref="A205:G205"/>
    <mergeCell ref="A208:G208"/>
    <mergeCell ref="A209:B209"/>
    <mergeCell ref="C209:G209"/>
    <mergeCell ref="A210:G210"/>
    <mergeCell ref="A213:F213"/>
    <mergeCell ref="A214:G214"/>
    <mergeCell ref="A218:F218"/>
    <mergeCell ref="A217:F217"/>
    <mergeCell ref="A220:G221"/>
    <mergeCell ref="A253:B253"/>
    <mergeCell ref="C253:G253"/>
    <mergeCell ref="A254:G254"/>
    <mergeCell ref="A258:F258"/>
    <mergeCell ref="A259:G259"/>
    <mergeCell ref="A263:F263"/>
    <mergeCell ref="A185:G185"/>
    <mergeCell ref="A189:F189"/>
    <mergeCell ref="A190:G190"/>
    <mergeCell ref="A193:G193"/>
    <mergeCell ref="A195:G195"/>
    <mergeCell ref="A194:B194"/>
    <mergeCell ref="C194:G194"/>
    <mergeCell ref="A199:F199"/>
    <mergeCell ref="A200:G200"/>
    <mergeCell ref="A169:F169"/>
    <mergeCell ref="A170:G170"/>
    <mergeCell ref="A175:G175"/>
    <mergeCell ref="A178:G178"/>
    <mergeCell ref="A174:F174"/>
    <mergeCell ref="A179:B179"/>
    <mergeCell ref="C179:G179"/>
    <mergeCell ref="A180:G180"/>
    <mergeCell ref="A184:F184"/>
    <mergeCell ref="A165:G165"/>
    <mergeCell ref="A126:G126"/>
    <mergeCell ref="A127:B127"/>
    <mergeCell ref="C127:G127"/>
    <mergeCell ref="A128:G128"/>
    <mergeCell ref="A132:F132"/>
    <mergeCell ref="A133:G133"/>
    <mergeCell ref="A137:F137"/>
    <mergeCell ref="A138:G138"/>
    <mergeCell ref="B139:G139"/>
    <mergeCell ref="A148:G148"/>
    <mergeCell ref="A149:B149"/>
    <mergeCell ref="C149:G149"/>
    <mergeCell ref="B144:C144"/>
    <mergeCell ref="A146:G147"/>
    <mergeCell ref="B143:C143"/>
    <mergeCell ref="D143:E143"/>
    <mergeCell ref="A145:G145"/>
    <mergeCell ref="B140:C140"/>
    <mergeCell ref="D140:E140"/>
    <mergeCell ref="A32:F32"/>
    <mergeCell ref="A47:F47"/>
    <mergeCell ref="A122:F122"/>
    <mergeCell ref="A123:G123"/>
    <mergeCell ref="A118:G118"/>
    <mergeCell ref="A108:G108"/>
    <mergeCell ref="A107:F107"/>
    <mergeCell ref="A97:B97"/>
    <mergeCell ref="C97:G97"/>
    <mergeCell ref="A102:F102"/>
    <mergeCell ref="A103:G103"/>
    <mergeCell ref="A87:F87"/>
    <mergeCell ref="A72:F72"/>
    <mergeCell ref="A57:F57"/>
    <mergeCell ref="A42:F42"/>
    <mergeCell ref="A150:G150"/>
    <mergeCell ref="A154:F154"/>
    <mergeCell ref="C52:G52"/>
    <mergeCell ref="A53:G53"/>
    <mergeCell ref="A67:B67"/>
    <mergeCell ref="C67:G67"/>
    <mergeCell ref="A82:B82"/>
    <mergeCell ref="C82:G82"/>
    <mergeCell ref="A88:G88"/>
    <mergeCell ref="A73:G73"/>
    <mergeCell ref="A58:G58"/>
    <mergeCell ref="A51:G51"/>
    <mergeCell ref="D144:G144"/>
    <mergeCell ref="A124:G125"/>
    <mergeCell ref="D141:E141"/>
    <mergeCell ref="B142:C142"/>
    <mergeCell ref="D142:E142"/>
    <mergeCell ref="A36:G36"/>
    <mergeCell ref="A1655:F1655"/>
    <mergeCell ref="A21:G21"/>
    <mergeCell ref="A19:G19"/>
    <mergeCell ref="A111:G111"/>
    <mergeCell ref="A112:B112"/>
    <mergeCell ref="C112:G112"/>
    <mergeCell ref="A117:F117"/>
    <mergeCell ref="A9:G9"/>
    <mergeCell ref="A10:B10"/>
    <mergeCell ref="C10:G10"/>
    <mergeCell ref="A20:B20"/>
    <mergeCell ref="C20:G20"/>
    <mergeCell ref="A37:B37"/>
    <mergeCell ref="C37:G37"/>
    <mergeCell ref="A38:G38"/>
    <mergeCell ref="A43:G43"/>
    <mergeCell ref="A26:G26"/>
    <mergeCell ref="A62:F62"/>
    <mergeCell ref="A63:G63"/>
    <mergeCell ref="A77:F77"/>
    <mergeCell ref="A78:G78"/>
    <mergeCell ref="A92:F92"/>
    <mergeCell ref="A93:G93"/>
    <mergeCell ref="A96:G96"/>
    <mergeCell ref="A81:G81"/>
    <mergeCell ref="A83:G83"/>
    <mergeCell ref="A68:G68"/>
    <mergeCell ref="A66:G66"/>
    <mergeCell ref="A17:G17"/>
    <mergeCell ref="A16:F16"/>
    <mergeCell ref="A15:F15"/>
    <mergeCell ref="A52:B52"/>
    <mergeCell ref="A1697:F1697"/>
    <mergeCell ref="A1698:G1698"/>
    <mergeCell ref="A1703:G1703"/>
    <mergeCell ref="A1704:G1705"/>
    <mergeCell ref="A1670:G1670"/>
    <mergeCell ref="A1675:G1675"/>
    <mergeCell ref="A1676:G1677"/>
    <mergeCell ref="A1683:F1683"/>
    <mergeCell ref="A1684:G1684"/>
    <mergeCell ref="A1689:G1689"/>
    <mergeCell ref="A1690:G1691"/>
    <mergeCell ref="A1679:G1679"/>
    <mergeCell ref="A1693:G1693"/>
    <mergeCell ref="A1702:F1702"/>
    <mergeCell ref="A1692:B1692"/>
    <mergeCell ref="C1692:G1692"/>
    <mergeCell ref="A1678:B1678"/>
    <mergeCell ref="C1678:G1678"/>
    <mergeCell ref="A1688:F1688"/>
    <mergeCell ref="A1687:F1687"/>
    <mergeCell ref="A1701:F1701"/>
    <mergeCell ref="A1673:F1673"/>
    <mergeCell ref="A1674:F1674"/>
    <mergeCell ref="A1647:G1647"/>
    <mergeCell ref="A1648:G1649"/>
    <mergeCell ref="A155:G155"/>
    <mergeCell ref="A159:F159"/>
    <mergeCell ref="A160:G160"/>
    <mergeCell ref="A163:G163"/>
    <mergeCell ref="A164:B164"/>
    <mergeCell ref="C164:G164"/>
    <mergeCell ref="A1656:G1656"/>
    <mergeCell ref="A1661:G1661"/>
    <mergeCell ref="A1662:G1663"/>
    <mergeCell ref="A1669:F1669"/>
    <mergeCell ref="A1651:G1651"/>
    <mergeCell ref="A1665:G1665"/>
    <mergeCell ref="A1650:B1650"/>
    <mergeCell ref="C1650:G1650"/>
    <mergeCell ref="A1646:F1646"/>
    <mergeCell ref="A1627:F1627"/>
    <mergeCell ref="A1628:G1628"/>
    <mergeCell ref="A1633:G1633"/>
    <mergeCell ref="A1634:G1635"/>
    <mergeCell ref="A1641:F1641"/>
    <mergeCell ref="A1642:G1642"/>
    <mergeCell ref="A1637:G1637"/>
    <mergeCell ref="A1664:B1664"/>
    <mergeCell ref="C1664:G1664"/>
    <mergeCell ref="A1660:F1660"/>
    <mergeCell ref="A1659:F1659"/>
    <mergeCell ref="A1645:F1645"/>
    <mergeCell ref="A1636:B1636"/>
    <mergeCell ref="C1636:G1636"/>
    <mergeCell ref="A1632:F1632"/>
    <mergeCell ref="A1631:F1631"/>
    <mergeCell ref="B1292:C1292"/>
    <mergeCell ref="D1292:E1292"/>
    <mergeCell ref="A1250:G1250"/>
    <mergeCell ref="A1251:G1252"/>
    <mergeCell ref="B1243:C1243"/>
    <mergeCell ref="D1243:E1243"/>
    <mergeCell ref="A1564:G1565"/>
    <mergeCell ref="B4:C4"/>
    <mergeCell ref="D4:G4"/>
    <mergeCell ref="B5:G5"/>
    <mergeCell ref="A1296:G1297"/>
    <mergeCell ref="A1274:G1275"/>
    <mergeCell ref="B1289:C1289"/>
    <mergeCell ref="D1289:E1289"/>
    <mergeCell ref="B1290:C1290"/>
    <mergeCell ref="D1290:E1290"/>
    <mergeCell ref="B1291:C1291"/>
    <mergeCell ref="D1291:E1291"/>
    <mergeCell ref="A1554:G1554"/>
    <mergeCell ref="A1553:F1553"/>
    <mergeCell ref="B1269:C1269"/>
    <mergeCell ref="A1182:G1183"/>
    <mergeCell ref="A1202:G1203"/>
    <mergeCell ref="A1216:G1217"/>
    <mergeCell ref="A33:F33"/>
    <mergeCell ref="A48:G48"/>
    <mergeCell ref="C1205:G1205"/>
    <mergeCell ref="A1209:F1209"/>
    <mergeCell ref="A1200:F1200"/>
    <mergeCell ref="A1199:F1199"/>
    <mergeCell ref="A1195:F1195"/>
    <mergeCell ref="A1191:F1191"/>
    <mergeCell ref="A1185:B1185"/>
    <mergeCell ref="C1185:G1185"/>
    <mergeCell ref="A1122:G1122"/>
    <mergeCell ref="A1127:G1127"/>
    <mergeCell ref="A1132:G1132"/>
    <mergeCell ref="A1139:G1139"/>
    <mergeCell ref="A1142:G1142"/>
    <mergeCell ref="A1144:G1144"/>
    <mergeCell ref="A1149:G1149"/>
    <mergeCell ref="A1154:G1154"/>
    <mergeCell ref="A1153:F1153"/>
    <mergeCell ref="A1148:F1148"/>
    <mergeCell ref="B1155:G1155"/>
    <mergeCell ref="D1138:G1138"/>
    <mergeCell ref="A1138:C1138"/>
    <mergeCell ref="A1131:F1131"/>
    <mergeCell ref="A1130:F1130"/>
    <mergeCell ref="A1126:F1126"/>
    <mergeCell ref="B1133:G1133"/>
    <mergeCell ref="A1180:F1180"/>
    <mergeCell ref="A1179:F1179"/>
    <mergeCell ref="A1175:F1175"/>
    <mergeCell ref="A1171:F1171"/>
    <mergeCell ref="A1165:B1165"/>
    <mergeCell ref="C1165:G1165"/>
    <mergeCell ref="A1159:C1159"/>
    <mergeCell ref="D1159:G1159"/>
    <mergeCell ref="A1161:G1162"/>
    <mergeCell ref="B1134:C1134"/>
    <mergeCell ref="D1134:E1134"/>
    <mergeCell ref="B1135:C1135"/>
    <mergeCell ref="D1135:E1135"/>
    <mergeCell ref="A1121:B1121"/>
    <mergeCell ref="C1121:G1121"/>
    <mergeCell ref="D1116:G1116"/>
    <mergeCell ref="A1116:C1116"/>
    <mergeCell ref="A1109:F1109"/>
    <mergeCell ref="A1110:F1110"/>
    <mergeCell ref="A1105:F1105"/>
    <mergeCell ref="A1100:B1100"/>
    <mergeCell ref="C1100:G1100"/>
    <mergeCell ref="B1113:C1113"/>
    <mergeCell ref="D1113:E1113"/>
    <mergeCell ref="B1114:C1114"/>
    <mergeCell ref="D1114:E1114"/>
    <mergeCell ref="B1115:C1115"/>
    <mergeCell ref="D1115:E1115"/>
    <mergeCell ref="A1118:G1119"/>
    <mergeCell ref="A1117:G1117"/>
    <mergeCell ref="A1120:G1120"/>
    <mergeCell ref="A879:G880"/>
    <mergeCell ref="A864:G865"/>
    <mergeCell ref="B1052:C1052"/>
    <mergeCell ref="D1052:E1052"/>
    <mergeCell ref="B1053:C1053"/>
    <mergeCell ref="D1053:E1053"/>
    <mergeCell ref="B1054:C1054"/>
    <mergeCell ref="D1054:E1054"/>
    <mergeCell ref="A695:G696"/>
    <mergeCell ref="A717:G718"/>
    <mergeCell ref="A1025:G1026"/>
    <mergeCell ref="B1005:C1005"/>
    <mergeCell ref="D1005:E1005"/>
    <mergeCell ref="B1006:C1006"/>
    <mergeCell ref="D1006:E1006"/>
    <mergeCell ref="B1007:C1007"/>
    <mergeCell ref="D1007:E1007"/>
    <mergeCell ref="A1010:G1011"/>
    <mergeCell ref="D941:E941"/>
    <mergeCell ref="A894:G895"/>
    <mergeCell ref="A974:G975"/>
    <mergeCell ref="A989:G990"/>
    <mergeCell ref="B1003:C1003"/>
    <mergeCell ref="D1003:E1003"/>
    <mergeCell ref="B1004:C1004"/>
    <mergeCell ref="D1004:E1004"/>
    <mergeCell ref="A896:G896"/>
    <mergeCell ref="A898:G898"/>
    <mergeCell ref="A903:G903"/>
    <mergeCell ref="A908:G908"/>
    <mergeCell ref="A913:G913"/>
    <mergeCell ref="B712:C712"/>
    <mergeCell ref="A918:G918"/>
    <mergeCell ref="D939:E939"/>
    <mergeCell ref="D940:E940"/>
    <mergeCell ref="A909:G910"/>
    <mergeCell ref="A924:G925"/>
    <mergeCell ref="A959:G960"/>
    <mergeCell ref="A945:G946"/>
    <mergeCell ref="B940:C940"/>
    <mergeCell ref="A947:G947"/>
    <mergeCell ref="B941:C941"/>
    <mergeCell ref="B942:C942"/>
    <mergeCell ref="D942:E942"/>
    <mergeCell ref="B939:C939"/>
    <mergeCell ref="A911:G911"/>
    <mergeCell ref="A923:G923"/>
    <mergeCell ref="A922:F922"/>
    <mergeCell ref="A921:F921"/>
    <mergeCell ref="A912:B912"/>
    <mergeCell ref="C912:G912"/>
    <mergeCell ref="A917:F917"/>
    <mergeCell ref="A907:F907"/>
    <mergeCell ref="A906:F906"/>
    <mergeCell ref="A902:F902"/>
    <mergeCell ref="A897:B897"/>
    <mergeCell ref="C897:G897"/>
    <mergeCell ref="A862:C862"/>
    <mergeCell ref="D862:G862"/>
    <mergeCell ref="B692:C692"/>
    <mergeCell ref="D361:E361"/>
    <mergeCell ref="A448:G449"/>
    <mergeCell ref="A505:G506"/>
    <mergeCell ref="B464:C464"/>
    <mergeCell ref="D464:E464"/>
    <mergeCell ref="A598:G599"/>
    <mergeCell ref="B499:C499"/>
    <mergeCell ref="D499:E499"/>
    <mergeCell ref="A469:G470"/>
    <mergeCell ref="A484:G485"/>
    <mergeCell ref="B466:C466"/>
    <mergeCell ref="D502:E502"/>
    <mergeCell ref="A613:G614"/>
    <mergeCell ref="A628:G629"/>
    <mergeCell ref="A658:G659"/>
    <mergeCell ref="A673:G674"/>
    <mergeCell ref="A643:G644"/>
    <mergeCell ref="D692:E692"/>
    <mergeCell ref="A367:B367"/>
    <mergeCell ref="C367:G367"/>
    <mergeCell ref="A368:G368"/>
    <mergeCell ref="A372:F372"/>
    <mergeCell ref="A373:G373"/>
    <mergeCell ref="A376:F376"/>
    <mergeCell ref="D383:G383"/>
    <mergeCell ref="A426:G426"/>
    <mergeCell ref="A429:G429"/>
    <mergeCell ref="B519:C519"/>
    <mergeCell ref="D519:E519"/>
    <mergeCell ref="B520:C520"/>
    <mergeCell ref="D520:E520"/>
    <mergeCell ref="B521:C521"/>
    <mergeCell ref="B860:C860"/>
    <mergeCell ref="D860:E860"/>
    <mergeCell ref="B857:C857"/>
    <mergeCell ref="D857:E857"/>
    <mergeCell ref="B858:C858"/>
    <mergeCell ref="B861:C861"/>
    <mergeCell ref="D861:E861"/>
    <mergeCell ref="B859:C859"/>
    <mergeCell ref="D858:E858"/>
    <mergeCell ref="D859:E859"/>
    <mergeCell ref="A856:G856"/>
    <mergeCell ref="A529:G529"/>
    <mergeCell ref="A531:G531"/>
    <mergeCell ref="A536:G536"/>
    <mergeCell ref="A541:G541"/>
    <mergeCell ref="A546:G546"/>
    <mergeCell ref="D521:E521"/>
    <mergeCell ref="A592:G592"/>
    <mergeCell ref="A597:G597"/>
    <mergeCell ref="A600:G600"/>
    <mergeCell ref="A602:G602"/>
    <mergeCell ref="A607:G607"/>
    <mergeCell ref="C581:G581"/>
    <mergeCell ref="A587:F587"/>
    <mergeCell ref="A1:G1"/>
    <mergeCell ref="A8:G8"/>
    <mergeCell ref="A7:G7"/>
    <mergeCell ref="B338:C338"/>
    <mergeCell ref="D338:E338"/>
    <mergeCell ref="B320:C320"/>
    <mergeCell ref="A34:G35"/>
    <mergeCell ref="A49:G50"/>
    <mergeCell ref="A64:G65"/>
    <mergeCell ref="A79:G80"/>
    <mergeCell ref="A94:G95"/>
    <mergeCell ref="A109:G110"/>
    <mergeCell ref="B337:C337"/>
    <mergeCell ref="D337:E337"/>
    <mergeCell ref="B2:C2"/>
    <mergeCell ref="B141:C141"/>
    <mergeCell ref="B297:C297"/>
    <mergeCell ref="D297:E297"/>
    <mergeCell ref="B298:C298"/>
    <mergeCell ref="B3:C3"/>
    <mergeCell ref="B294:C294"/>
    <mergeCell ref="D294:E294"/>
    <mergeCell ref="B295:C295"/>
    <mergeCell ref="D295:E295"/>
    <mergeCell ref="A161:G162"/>
    <mergeCell ref="A176:G177"/>
    <mergeCell ref="A191:G192"/>
    <mergeCell ref="A18:G18"/>
    <mergeCell ref="E3:G3"/>
    <mergeCell ref="A25:F25"/>
    <mergeCell ref="A61:F61"/>
    <mergeCell ref="A46:F46"/>
    <mergeCell ref="E2:G2"/>
    <mergeCell ref="A235:G236"/>
    <mergeCell ref="A206:G207"/>
    <mergeCell ref="D298:E298"/>
    <mergeCell ref="B318:C318"/>
    <mergeCell ref="D318:E318"/>
    <mergeCell ref="B319:C319"/>
    <mergeCell ref="D319:E319"/>
    <mergeCell ref="B317:C317"/>
    <mergeCell ref="D317:E317"/>
    <mergeCell ref="B316:C316"/>
    <mergeCell ref="D316:E316"/>
    <mergeCell ref="A301:G302"/>
    <mergeCell ref="A322:G323"/>
    <mergeCell ref="A309:F309"/>
    <mergeCell ref="A310:G310"/>
    <mergeCell ref="A313:F313"/>
    <mergeCell ref="A314:F314"/>
    <mergeCell ref="B315:G315"/>
    <mergeCell ref="A321:G321"/>
    <mergeCell ref="A219:G219"/>
    <mergeCell ref="A222:G222"/>
    <mergeCell ref="A223:B223"/>
    <mergeCell ref="C223:G223"/>
    <mergeCell ref="A224:G224"/>
    <mergeCell ref="A228:F228"/>
    <mergeCell ref="A229:G229"/>
    <mergeCell ref="A233:F233"/>
    <mergeCell ref="A234:G234"/>
    <mergeCell ref="A232:F232"/>
    <mergeCell ref="A264:G264"/>
    <mergeCell ref="A267:G267"/>
    <mergeCell ref="B358:C358"/>
    <mergeCell ref="D358:E358"/>
    <mergeCell ref="D378:E378"/>
    <mergeCell ref="A343:G344"/>
    <mergeCell ref="A364:G365"/>
    <mergeCell ref="A342:G342"/>
    <mergeCell ref="A355:F355"/>
    <mergeCell ref="A356:F356"/>
    <mergeCell ref="B357:G357"/>
    <mergeCell ref="A362:C362"/>
    <mergeCell ref="D362:G362"/>
    <mergeCell ref="A363:G363"/>
    <mergeCell ref="B361:C361"/>
    <mergeCell ref="B359:C359"/>
    <mergeCell ref="D359:E359"/>
    <mergeCell ref="B360:C360"/>
    <mergeCell ref="D360:E360"/>
    <mergeCell ref="B378:C378"/>
    <mergeCell ref="A377:F377"/>
    <mergeCell ref="A366:G366"/>
    <mergeCell ref="A842:G843"/>
    <mergeCell ref="B837:C837"/>
    <mergeCell ref="D837:E837"/>
    <mergeCell ref="B838:C838"/>
    <mergeCell ref="B558:C558"/>
    <mergeCell ref="D558:E558"/>
    <mergeCell ref="A527:G528"/>
    <mergeCell ref="B688:C688"/>
    <mergeCell ref="D688:E688"/>
    <mergeCell ref="D691:E691"/>
    <mergeCell ref="B689:C689"/>
    <mergeCell ref="D689:E689"/>
    <mergeCell ref="A577:G577"/>
    <mergeCell ref="B559:C559"/>
    <mergeCell ref="D559:E559"/>
    <mergeCell ref="A564:G565"/>
    <mergeCell ref="B798:C798"/>
    <mergeCell ref="A761:G762"/>
    <mergeCell ref="A783:G784"/>
    <mergeCell ref="D838:E838"/>
    <mergeCell ref="B839:C839"/>
    <mergeCell ref="D839:E839"/>
    <mergeCell ref="D801:E801"/>
    <mergeCell ref="D780:E780"/>
    <mergeCell ref="B732:C732"/>
    <mergeCell ref="A578:G579"/>
    <mergeCell ref="B560:C560"/>
    <mergeCell ref="D560:E560"/>
    <mergeCell ref="B561:C561"/>
    <mergeCell ref="D561:E561"/>
    <mergeCell ref="A576:F576"/>
    <mergeCell ref="A575:F575"/>
    <mergeCell ref="D463:E463"/>
    <mergeCell ref="B500:C500"/>
    <mergeCell ref="D500:E500"/>
    <mergeCell ref="D523:E523"/>
    <mergeCell ref="A542:G543"/>
    <mergeCell ref="D522:E522"/>
    <mergeCell ref="B522:C522"/>
    <mergeCell ref="A550:F550"/>
    <mergeCell ref="A545:B545"/>
    <mergeCell ref="C545:G545"/>
    <mergeCell ref="A544:G544"/>
    <mergeCell ref="A540:F540"/>
    <mergeCell ref="A539:F539"/>
    <mergeCell ref="A535:F535"/>
    <mergeCell ref="A530:B530"/>
    <mergeCell ref="C530:G530"/>
    <mergeCell ref="A406:G407"/>
    <mergeCell ref="B442:C442"/>
    <mergeCell ref="D443:E443"/>
    <mergeCell ref="D467:G467"/>
    <mergeCell ref="B523:C523"/>
    <mergeCell ref="B501:C501"/>
    <mergeCell ref="D501:E501"/>
    <mergeCell ref="B502:C502"/>
    <mergeCell ref="A456:F456"/>
    <mergeCell ref="B462:G462"/>
    <mergeCell ref="A513:F513"/>
    <mergeCell ref="A508:B508"/>
    <mergeCell ref="C508:G508"/>
    <mergeCell ref="A503:C503"/>
    <mergeCell ref="D503:G503"/>
    <mergeCell ref="A496:F496"/>
    <mergeCell ref="B401:C401"/>
    <mergeCell ref="D401:E401"/>
    <mergeCell ref="B400:C400"/>
    <mergeCell ref="D400:E400"/>
    <mergeCell ref="B423:C423"/>
    <mergeCell ref="B424:C424"/>
    <mergeCell ref="D424:E424"/>
    <mergeCell ref="D381:E381"/>
    <mergeCell ref="B379:C379"/>
    <mergeCell ref="B380:C380"/>
    <mergeCell ref="D379:E379"/>
    <mergeCell ref="D380:E380"/>
    <mergeCell ref="B381:C381"/>
    <mergeCell ref="B444:C444"/>
    <mergeCell ref="D444:E444"/>
    <mergeCell ref="D442:E442"/>
    <mergeCell ref="B443:C443"/>
    <mergeCell ref="D423:E423"/>
    <mergeCell ref="B403:C403"/>
    <mergeCell ref="D403:E403"/>
    <mergeCell ref="B402:C402"/>
    <mergeCell ref="D402:E402"/>
    <mergeCell ref="A385:G386"/>
    <mergeCell ref="B382:C382"/>
    <mergeCell ref="D382:E382"/>
    <mergeCell ref="A431:G431"/>
    <mergeCell ref="A436:G436"/>
    <mergeCell ref="A440:G440"/>
    <mergeCell ref="D422:E422"/>
    <mergeCell ref="B422:C422"/>
    <mergeCell ref="A427:G428"/>
    <mergeCell ref="A383:C383"/>
    <mergeCell ref="B1393:C1393"/>
    <mergeCell ref="B421:C421"/>
    <mergeCell ref="D421:E421"/>
    <mergeCell ref="D735:E735"/>
    <mergeCell ref="B734:C734"/>
    <mergeCell ref="D734:E734"/>
    <mergeCell ref="D714:E714"/>
    <mergeCell ref="B779:C779"/>
    <mergeCell ref="D779:E779"/>
    <mergeCell ref="B780:C780"/>
    <mergeCell ref="B777:C777"/>
    <mergeCell ref="D777:E777"/>
    <mergeCell ref="B778:C778"/>
    <mergeCell ref="B736:C736"/>
    <mergeCell ref="B756:C756"/>
    <mergeCell ref="D756:E756"/>
    <mergeCell ref="B757:C757"/>
    <mergeCell ref="D757:E757"/>
    <mergeCell ref="B758:C758"/>
    <mergeCell ref="A806:G806"/>
    <mergeCell ref="B755:C755"/>
    <mergeCell ref="D755:E755"/>
    <mergeCell ref="A739:G740"/>
    <mergeCell ref="D758:E758"/>
    <mergeCell ref="D736:E736"/>
    <mergeCell ref="D798:E798"/>
    <mergeCell ref="B799:C799"/>
    <mergeCell ref="D732:E732"/>
    <mergeCell ref="B733:C733"/>
    <mergeCell ref="D733:E733"/>
    <mergeCell ref="B714:C714"/>
    <mergeCell ref="B735:C735"/>
    <mergeCell ref="A1479:G1480"/>
    <mergeCell ref="A1494:G1495"/>
    <mergeCell ref="A1509:G1510"/>
    <mergeCell ref="B1528:C1528"/>
    <mergeCell ref="D1528:E1528"/>
    <mergeCell ref="B1529:C1529"/>
    <mergeCell ref="A1531:G1532"/>
    <mergeCell ref="A1428:G1428"/>
    <mergeCell ref="A1433:G1433"/>
    <mergeCell ref="A1436:G1436"/>
    <mergeCell ref="A1443:G1443"/>
    <mergeCell ref="A1448:G1448"/>
    <mergeCell ref="A1451:G1451"/>
    <mergeCell ref="A1458:G1458"/>
    <mergeCell ref="A1463:G1463"/>
    <mergeCell ref="A6:G6"/>
    <mergeCell ref="D1349:E1349"/>
    <mergeCell ref="B1350:C1350"/>
    <mergeCell ref="D1350:E1350"/>
    <mergeCell ref="B1326:C1326"/>
    <mergeCell ref="D1326:E1326"/>
    <mergeCell ref="B1327:C1327"/>
    <mergeCell ref="D1327:E1327"/>
    <mergeCell ref="B1328:C1328"/>
    <mergeCell ref="D1328:E1328"/>
    <mergeCell ref="B1329:C1329"/>
    <mergeCell ref="D1329:E1329"/>
    <mergeCell ref="A1332:G1333"/>
    <mergeCell ref="C1345:F1345"/>
    <mergeCell ref="A1355:G1355"/>
    <mergeCell ref="A1377:G1377"/>
    <mergeCell ref="A1398:G1398"/>
  </mergeCells>
  <printOptions horizontalCentered="1"/>
  <pageMargins left="0.25" right="0.25" top="0.75" bottom="0.75" header="0.3" footer="0.3"/>
  <pageSetup paperSize="9" scale="56" fitToHeight="0" orientation="portrait" r:id="rId1"/>
  <headerFooter>
    <oddFooter>Página &amp;P de &amp;N</oddFooter>
  </headerFooter>
  <rowBreaks count="15" manualBreakCount="15">
    <brk id="36" max="6" man="1"/>
    <brk id="96" max="6" man="1"/>
    <brk id="126" max="6" man="1"/>
    <brk id="193" max="6" man="1"/>
    <brk id="252" max="6" man="1"/>
    <brk id="429" max="6" man="1"/>
    <brk id="507" max="6" man="1"/>
    <brk id="566" max="6" man="1"/>
    <brk id="615" max="6" man="1"/>
    <brk id="719" max="6" man="1"/>
    <brk id="822" max="6" man="1"/>
    <brk id="896" max="6" man="1"/>
    <brk id="1119" max="6" man="1"/>
    <brk id="1311" max="6" man="1"/>
    <brk id="1695"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7"/>
  <sheetViews>
    <sheetView view="pageBreakPreview" zoomScaleNormal="120" zoomScaleSheetLayoutView="100" workbookViewId="0">
      <selection activeCell="B16" sqref="B16"/>
    </sheetView>
  </sheetViews>
  <sheetFormatPr defaultColWidth="9.140625" defaultRowHeight="15.75" x14ac:dyDescent="0.25"/>
  <cols>
    <col min="1" max="1" width="16.5703125" style="383" customWidth="1"/>
    <col min="2" max="2" width="59" style="383" customWidth="1"/>
    <col min="3" max="3" width="15.7109375" style="383" customWidth="1"/>
    <col min="4" max="4" width="29.140625" style="383" customWidth="1"/>
    <col min="5" max="16384" width="9.140625" style="383"/>
  </cols>
  <sheetData>
    <row r="1" spans="1:4" ht="110.25" customHeight="1" x14ac:dyDescent="0.25">
      <c r="A1" s="867" t="s">
        <v>1412</v>
      </c>
      <c r="B1" s="868"/>
      <c r="C1" s="868"/>
      <c r="D1" s="869"/>
    </row>
    <row r="2" spans="1:4" ht="29.25" customHeight="1" x14ac:dyDescent="0.25">
      <c r="A2" s="465" t="str">
        <f>RESUMO!A2</f>
        <v>OBRA:</v>
      </c>
      <c r="B2" s="890" t="str">
        <f>ORÇAMENTO!B2</f>
        <v>EXECUÇÃO DE REDE DE DISTRIBUIÇÃO DE MÉDIA TENSÃO, POSTO DE TRANSFORMAÇÃO DE 225KVA E 45KVA- HOSPITAL VETERINÁRIO CENTRO DE REABILITAÇÃO DE ANIMAIS SILVESTRES - CRAS</v>
      </c>
      <c r="C2" s="890"/>
      <c r="D2" s="891"/>
    </row>
    <row r="3" spans="1:4" ht="15.75" customHeight="1" x14ac:dyDescent="0.25">
      <c r="A3" s="465" t="str">
        <f>RESUMO!A3</f>
        <v>ENDEREÇO:</v>
      </c>
      <c r="B3" s="890" t="str">
        <f>ORÇAMENTO!B3</f>
        <v>RUA DE ACESSO AO INPE (ATRÁS DA ASSOFT), BAIRRO CENTRO POLITICO ADMINISTRATIVO, CUIABÁ-MT</v>
      </c>
      <c r="C3" s="890"/>
      <c r="D3" s="891"/>
    </row>
    <row r="4" spans="1:4" x14ac:dyDescent="0.25">
      <c r="A4" s="465" t="str">
        <f>RESUMO!A4</f>
        <v>MUNICÍPIO:</v>
      </c>
      <c r="B4" s="890" t="str">
        <f>ORÇAMENTO!B4</f>
        <v>CUIABÁ - MT</v>
      </c>
      <c r="C4" s="890"/>
      <c r="D4" s="891"/>
    </row>
    <row r="5" spans="1:4" ht="33" customHeight="1" x14ac:dyDescent="0.25">
      <c r="A5" s="465" t="str">
        <f>RESUMO!A5</f>
        <v>ASSUNTO:</v>
      </c>
      <c r="B5" s="890" t="str">
        <f>ORÇAMENTO!B5</f>
        <v xml:space="preserve">PROJETO ELÉTRICO DE REDE DE DISTRIBUIÇÃO DE MÉDIA TENSÃO, POSTO DE TRANSFORMAÇÃO DE 225KVA E 45KVA </v>
      </c>
      <c r="C5" s="890"/>
      <c r="D5" s="891"/>
    </row>
    <row r="6" spans="1:4" x14ac:dyDescent="0.25">
      <c r="A6" s="864"/>
      <c r="B6" s="865"/>
      <c r="C6" s="865"/>
      <c r="D6" s="866"/>
    </row>
    <row r="7" spans="1:4" ht="16.5" customHeight="1" x14ac:dyDescent="0.25">
      <c r="A7" s="882" t="s">
        <v>1375</v>
      </c>
      <c r="B7" s="883"/>
      <c r="C7" s="883"/>
      <c r="D7" s="884"/>
    </row>
    <row r="8" spans="1:4" x14ac:dyDescent="0.25">
      <c r="A8" s="567" t="s">
        <v>1376</v>
      </c>
      <c r="B8" s="566" t="s">
        <v>1377</v>
      </c>
      <c r="C8" s="566" t="s">
        <v>1378</v>
      </c>
      <c r="D8" s="568" t="s">
        <v>1379</v>
      </c>
    </row>
    <row r="9" spans="1:4" x14ac:dyDescent="0.25">
      <c r="A9" s="569" t="s">
        <v>1153</v>
      </c>
      <c r="B9" s="860" t="s">
        <v>1154</v>
      </c>
      <c r="C9" s="860"/>
      <c r="D9" s="861"/>
    </row>
    <row r="10" spans="1:4" x14ac:dyDescent="0.25">
      <c r="A10" s="466" t="s">
        <v>1155</v>
      </c>
      <c r="B10" s="467" t="s">
        <v>1156</v>
      </c>
      <c r="C10" s="468">
        <v>0.04</v>
      </c>
      <c r="D10" s="469" t="s">
        <v>1380</v>
      </c>
    </row>
    <row r="11" spans="1:4" x14ac:dyDescent="0.25">
      <c r="A11" s="466" t="s">
        <v>1157</v>
      </c>
      <c r="B11" s="467" t="s">
        <v>1158</v>
      </c>
      <c r="C11" s="468">
        <v>8.0000000000000002E-3</v>
      </c>
      <c r="D11" s="469" t="s">
        <v>1380</v>
      </c>
    </row>
    <row r="12" spans="1:4" x14ac:dyDescent="0.25">
      <c r="A12" s="466" t="s">
        <v>1159</v>
      </c>
      <c r="B12" s="467" t="s">
        <v>1160</v>
      </c>
      <c r="C12" s="468">
        <v>1.2699999999999999E-2</v>
      </c>
      <c r="D12" s="469" t="s">
        <v>1380</v>
      </c>
    </row>
    <row r="13" spans="1:4" x14ac:dyDescent="0.25">
      <c r="A13" s="862" t="s">
        <v>1161</v>
      </c>
      <c r="B13" s="863"/>
      <c r="C13" s="863"/>
      <c r="D13" s="570">
        <f>SUM(C10:C12)</f>
        <v>6.0700000000000004E-2</v>
      </c>
    </row>
    <row r="14" spans="1:4" x14ac:dyDescent="0.25">
      <c r="A14" s="873"/>
      <c r="B14" s="874"/>
      <c r="C14" s="874"/>
      <c r="D14" s="875"/>
    </row>
    <row r="15" spans="1:4" x14ac:dyDescent="0.25">
      <c r="A15" s="569" t="s">
        <v>1162</v>
      </c>
      <c r="B15" s="860" t="s">
        <v>1163</v>
      </c>
      <c r="C15" s="860"/>
      <c r="D15" s="861"/>
    </row>
    <row r="16" spans="1:4" x14ac:dyDescent="0.25">
      <c r="A16" s="466" t="s">
        <v>1164</v>
      </c>
      <c r="B16" s="467" t="s">
        <v>1165</v>
      </c>
      <c r="C16" s="468">
        <v>1.23E-2</v>
      </c>
      <c r="D16" s="469" t="s">
        <v>1380</v>
      </c>
    </row>
    <row r="17" spans="1:4" x14ac:dyDescent="0.25">
      <c r="A17" s="862" t="s">
        <v>1166</v>
      </c>
      <c r="B17" s="863"/>
      <c r="C17" s="863"/>
      <c r="D17" s="570">
        <f>SUM(C16)</f>
        <v>1.23E-2</v>
      </c>
    </row>
    <row r="18" spans="1:4" x14ac:dyDescent="0.25">
      <c r="A18" s="864"/>
      <c r="B18" s="865"/>
      <c r="C18" s="865"/>
      <c r="D18" s="866"/>
    </row>
    <row r="19" spans="1:4" x14ac:dyDescent="0.25">
      <c r="A19" s="569" t="s">
        <v>1167</v>
      </c>
      <c r="B19" s="860" t="s">
        <v>1163</v>
      </c>
      <c r="C19" s="860"/>
      <c r="D19" s="861"/>
    </row>
    <row r="20" spans="1:4" x14ac:dyDescent="0.25">
      <c r="A20" s="466" t="s">
        <v>1168</v>
      </c>
      <c r="B20" s="467" t="s">
        <v>1169</v>
      </c>
      <c r="C20" s="468">
        <v>7.3999999999999996E-2</v>
      </c>
      <c r="D20" s="469" t="s">
        <v>1380</v>
      </c>
    </row>
    <row r="21" spans="1:4" x14ac:dyDescent="0.25">
      <c r="A21" s="862" t="s">
        <v>1170</v>
      </c>
      <c r="B21" s="863"/>
      <c r="C21" s="863"/>
      <c r="D21" s="570">
        <f>SUM(C20)</f>
        <v>7.3999999999999996E-2</v>
      </c>
    </row>
    <row r="22" spans="1:4" x14ac:dyDescent="0.25">
      <c r="A22" s="864"/>
      <c r="B22" s="865"/>
      <c r="C22" s="865"/>
      <c r="D22" s="866"/>
    </row>
    <row r="23" spans="1:4" x14ac:dyDescent="0.25">
      <c r="A23" s="569" t="s">
        <v>1171</v>
      </c>
      <c r="B23" s="860" t="s">
        <v>1172</v>
      </c>
      <c r="C23" s="860"/>
      <c r="D23" s="861"/>
    </row>
    <row r="24" spans="1:4" x14ac:dyDescent="0.25">
      <c r="A24" s="466" t="s">
        <v>1173</v>
      </c>
      <c r="B24" s="467" t="s">
        <v>1174</v>
      </c>
      <c r="C24" s="468">
        <v>6.4999999999999997E-3</v>
      </c>
      <c r="D24" s="469" t="s">
        <v>1420</v>
      </c>
    </row>
    <row r="25" spans="1:4" x14ac:dyDescent="0.25">
      <c r="A25" s="466" t="s">
        <v>1175</v>
      </c>
      <c r="B25" s="467" t="s">
        <v>1176</v>
      </c>
      <c r="C25" s="468">
        <v>0.03</v>
      </c>
      <c r="D25" s="469" t="s">
        <v>1420</v>
      </c>
    </row>
    <row r="26" spans="1:4" x14ac:dyDescent="0.25">
      <c r="A26" s="466" t="s">
        <v>793</v>
      </c>
      <c r="B26" s="467" t="s">
        <v>1177</v>
      </c>
      <c r="C26" s="468">
        <v>0.02</v>
      </c>
      <c r="D26" s="469" t="s">
        <v>1420</v>
      </c>
    </row>
    <row r="27" spans="1:4" x14ac:dyDescent="0.25">
      <c r="A27" s="864"/>
      <c r="B27" s="865"/>
      <c r="C27" s="865"/>
      <c r="D27" s="866"/>
    </row>
    <row r="28" spans="1:4" x14ac:dyDescent="0.25">
      <c r="A28" s="862" t="s">
        <v>1178</v>
      </c>
      <c r="B28" s="863"/>
      <c r="C28" s="863"/>
      <c r="D28" s="571">
        <f>SUM(C24:C27)</f>
        <v>5.6499999999999995E-2</v>
      </c>
    </row>
    <row r="29" spans="1:4" ht="60" customHeight="1" x14ac:dyDescent="0.25">
      <c r="A29" s="887" t="s">
        <v>1381</v>
      </c>
      <c r="B29" s="888"/>
      <c r="C29" s="888"/>
      <c r="D29" s="889"/>
    </row>
    <row r="30" spans="1:4" x14ac:dyDescent="0.25">
      <c r="A30" s="885" t="s">
        <v>1179</v>
      </c>
      <c r="B30" s="886"/>
      <c r="C30" s="886"/>
      <c r="D30" s="572">
        <f>(((1+D13)*(1+D17)*(1+D21))/(1-D28))-1</f>
        <v>0.22226164190779008</v>
      </c>
    </row>
    <row r="31" spans="1:4" x14ac:dyDescent="0.25">
      <c r="A31" s="876" t="s">
        <v>1382</v>
      </c>
      <c r="B31" s="877"/>
      <c r="C31" s="877"/>
      <c r="D31" s="878"/>
    </row>
    <row r="32" spans="1:4" ht="32.25" customHeight="1" x14ac:dyDescent="0.25">
      <c r="A32" s="879"/>
      <c r="B32" s="880"/>
      <c r="C32" s="880"/>
      <c r="D32" s="881"/>
    </row>
    <row r="33" spans="1:4" x14ac:dyDescent="0.25">
      <c r="A33" s="882" t="s">
        <v>1383</v>
      </c>
      <c r="B33" s="883"/>
      <c r="C33" s="883"/>
      <c r="D33" s="884"/>
    </row>
    <row r="34" spans="1:4" x14ac:dyDescent="0.25">
      <c r="A34" s="567" t="s">
        <v>1376</v>
      </c>
      <c r="B34" s="566" t="s">
        <v>1377</v>
      </c>
      <c r="C34" s="566" t="s">
        <v>1378</v>
      </c>
      <c r="D34" s="568" t="s">
        <v>1379</v>
      </c>
    </row>
    <row r="35" spans="1:4" x14ac:dyDescent="0.25">
      <c r="A35" s="569" t="s">
        <v>1153</v>
      </c>
      <c r="B35" s="860" t="s">
        <v>1154</v>
      </c>
      <c r="C35" s="860"/>
      <c r="D35" s="861"/>
    </row>
    <row r="36" spans="1:4" x14ac:dyDescent="0.25">
      <c r="A36" s="466" t="s">
        <v>1155</v>
      </c>
      <c r="B36" s="467" t="s">
        <v>1156</v>
      </c>
      <c r="C36" s="468">
        <v>3.4500000000000003E-2</v>
      </c>
      <c r="D36" s="469" t="s">
        <v>1380</v>
      </c>
    </row>
    <row r="37" spans="1:4" x14ac:dyDescent="0.25">
      <c r="A37" s="466" t="s">
        <v>1157</v>
      </c>
      <c r="B37" s="467" t="s">
        <v>1158</v>
      </c>
      <c r="C37" s="468">
        <v>4.7999999999999996E-3</v>
      </c>
      <c r="D37" s="469" t="s">
        <v>1380</v>
      </c>
    </row>
    <row r="38" spans="1:4" x14ac:dyDescent="0.25">
      <c r="A38" s="466" t="s">
        <v>1159</v>
      </c>
      <c r="B38" s="467" t="s">
        <v>1160</v>
      </c>
      <c r="C38" s="468">
        <v>8.5000000000000006E-3</v>
      </c>
      <c r="D38" s="469" t="s">
        <v>1380</v>
      </c>
    </row>
    <row r="39" spans="1:4" x14ac:dyDescent="0.25">
      <c r="A39" s="862" t="s">
        <v>1161</v>
      </c>
      <c r="B39" s="863"/>
      <c r="C39" s="863"/>
      <c r="D39" s="570">
        <f>SUM(C36:C38)</f>
        <v>4.7800000000000002E-2</v>
      </c>
    </row>
    <row r="40" spans="1:4" x14ac:dyDescent="0.25">
      <c r="A40" s="873"/>
      <c r="B40" s="874"/>
      <c r="C40" s="874"/>
      <c r="D40" s="875"/>
    </row>
    <row r="41" spans="1:4" x14ac:dyDescent="0.25">
      <c r="A41" s="569" t="s">
        <v>1162</v>
      </c>
      <c r="B41" s="860" t="s">
        <v>1163</v>
      </c>
      <c r="C41" s="860"/>
      <c r="D41" s="861"/>
    </row>
    <row r="42" spans="1:4" x14ac:dyDescent="0.25">
      <c r="A42" s="466" t="s">
        <v>1164</v>
      </c>
      <c r="B42" s="467" t="s">
        <v>1165</v>
      </c>
      <c r="C42" s="468">
        <v>8.5000000000000006E-3</v>
      </c>
      <c r="D42" s="469" t="s">
        <v>1380</v>
      </c>
    </row>
    <row r="43" spans="1:4" x14ac:dyDescent="0.25">
      <c r="A43" s="862" t="s">
        <v>1166</v>
      </c>
      <c r="B43" s="863"/>
      <c r="C43" s="863"/>
      <c r="D43" s="570">
        <f>SUM(C42)</f>
        <v>8.5000000000000006E-3</v>
      </c>
    </row>
    <row r="44" spans="1:4" x14ac:dyDescent="0.25">
      <c r="A44" s="864"/>
      <c r="B44" s="865"/>
      <c r="C44" s="865"/>
      <c r="D44" s="866"/>
    </row>
    <row r="45" spans="1:4" x14ac:dyDescent="0.25">
      <c r="A45" s="569" t="s">
        <v>1167</v>
      </c>
      <c r="B45" s="860" t="s">
        <v>1163</v>
      </c>
      <c r="C45" s="860"/>
      <c r="D45" s="861"/>
    </row>
    <row r="46" spans="1:4" x14ac:dyDescent="0.25">
      <c r="A46" s="466" t="s">
        <v>1168</v>
      </c>
      <c r="B46" s="467" t="s">
        <v>1169</v>
      </c>
      <c r="C46" s="468">
        <v>5.11E-2</v>
      </c>
      <c r="D46" s="469" t="s">
        <v>1380</v>
      </c>
    </row>
    <row r="47" spans="1:4" x14ac:dyDescent="0.25">
      <c r="A47" s="862" t="s">
        <v>1170</v>
      </c>
      <c r="B47" s="863"/>
      <c r="C47" s="863"/>
      <c r="D47" s="570">
        <f>SUM(C46)</f>
        <v>5.11E-2</v>
      </c>
    </row>
    <row r="48" spans="1:4" x14ac:dyDescent="0.25">
      <c r="A48" s="864"/>
      <c r="B48" s="865"/>
      <c r="C48" s="865"/>
      <c r="D48" s="866"/>
    </row>
    <row r="49" spans="1:4" x14ac:dyDescent="0.25">
      <c r="A49" s="569" t="s">
        <v>1171</v>
      </c>
      <c r="B49" s="860" t="s">
        <v>1172</v>
      </c>
      <c r="C49" s="860"/>
      <c r="D49" s="861"/>
    </row>
    <row r="50" spans="1:4" x14ac:dyDescent="0.25">
      <c r="A50" s="466" t="s">
        <v>1173</v>
      </c>
      <c r="B50" s="467" t="s">
        <v>1174</v>
      </c>
      <c r="C50" s="468">
        <v>6.4999999999999997E-3</v>
      </c>
      <c r="D50" s="469" t="s">
        <v>1420</v>
      </c>
    </row>
    <row r="51" spans="1:4" x14ac:dyDescent="0.25">
      <c r="A51" s="466" t="s">
        <v>1175</v>
      </c>
      <c r="B51" s="467" t="s">
        <v>1176</v>
      </c>
      <c r="C51" s="468">
        <v>0.03</v>
      </c>
      <c r="D51" s="469" t="s">
        <v>1420</v>
      </c>
    </row>
    <row r="52" spans="1:4" x14ac:dyDescent="0.25">
      <c r="A52" s="466" t="s">
        <v>793</v>
      </c>
      <c r="B52" s="467" t="s">
        <v>1177</v>
      </c>
      <c r="C52" s="468">
        <v>0.02</v>
      </c>
      <c r="D52" s="469" t="s">
        <v>1420</v>
      </c>
    </row>
    <row r="53" spans="1:4" x14ac:dyDescent="0.25">
      <c r="A53" s="864"/>
      <c r="B53" s="865"/>
      <c r="C53" s="865"/>
      <c r="D53" s="866"/>
    </row>
    <row r="54" spans="1:4" x14ac:dyDescent="0.25">
      <c r="A54" s="862" t="s">
        <v>1178</v>
      </c>
      <c r="B54" s="863"/>
      <c r="C54" s="863"/>
      <c r="D54" s="571">
        <f>SUM(C50:C53)</f>
        <v>5.6499999999999995E-2</v>
      </c>
    </row>
    <row r="55" spans="1:4" ht="56.25" customHeight="1" x14ac:dyDescent="0.25">
      <c r="A55" s="870" t="s">
        <v>1381</v>
      </c>
      <c r="B55" s="871"/>
      <c r="C55" s="871"/>
      <c r="D55" s="872"/>
    </row>
    <row r="56" spans="1:4" x14ac:dyDescent="0.25">
      <c r="A56" s="855" t="s">
        <v>1384</v>
      </c>
      <c r="B56" s="856"/>
      <c r="C56" s="856"/>
      <c r="D56" s="573">
        <f>(((1+D39)*(1+D43)*(1+D47))/(1-D54))-1</f>
        <v>0.17721673760466339</v>
      </c>
    </row>
    <row r="57" spans="1:4" ht="16.5" thickBot="1" x14ac:dyDescent="0.3">
      <c r="A57" s="857" t="s">
        <v>1382</v>
      </c>
      <c r="B57" s="858"/>
      <c r="C57" s="858"/>
      <c r="D57" s="859"/>
    </row>
  </sheetData>
  <mergeCells count="39">
    <mergeCell ref="A28:C28"/>
    <mergeCell ref="A29:D29"/>
    <mergeCell ref="A7:D7"/>
    <mergeCell ref="B2:D2"/>
    <mergeCell ref="B3:D3"/>
    <mergeCell ref="B4:D4"/>
    <mergeCell ref="B5:D5"/>
    <mergeCell ref="A14:D14"/>
    <mergeCell ref="A18:D18"/>
    <mergeCell ref="A22:D22"/>
    <mergeCell ref="A27:D27"/>
    <mergeCell ref="A17:C17"/>
    <mergeCell ref="B19:D19"/>
    <mergeCell ref="A1:D1"/>
    <mergeCell ref="A21:C21"/>
    <mergeCell ref="B23:D23"/>
    <mergeCell ref="A54:C54"/>
    <mergeCell ref="A55:D55"/>
    <mergeCell ref="A40:D40"/>
    <mergeCell ref="A6:D6"/>
    <mergeCell ref="A31:D31"/>
    <mergeCell ref="A32:D32"/>
    <mergeCell ref="A33:D33"/>
    <mergeCell ref="B35:D35"/>
    <mergeCell ref="A39:C39"/>
    <mergeCell ref="A30:C30"/>
    <mergeCell ref="B9:D9"/>
    <mergeCell ref="A13:C13"/>
    <mergeCell ref="B15:D15"/>
    <mergeCell ref="A56:C56"/>
    <mergeCell ref="A57:D57"/>
    <mergeCell ref="B41:D41"/>
    <mergeCell ref="A43:C43"/>
    <mergeCell ref="B45:D45"/>
    <mergeCell ref="A47:C47"/>
    <mergeCell ref="B49:D49"/>
    <mergeCell ref="A44:D44"/>
    <mergeCell ref="A48:D48"/>
    <mergeCell ref="A53:D53"/>
  </mergeCells>
  <printOptions horizontalCentered="1"/>
  <pageMargins left="0.25" right="0.25" top="0.75" bottom="0.75" header="0.3" footer="0.3"/>
  <pageSetup paperSize="9" scale="83" fitToHeight="0" orientation="portrait" r:id="rId1"/>
  <headerFooter>
    <oddFooter>Página &amp;P de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
  <sheetViews>
    <sheetView view="pageBreakPreview" zoomScale="85" zoomScaleNormal="70" zoomScaleSheetLayoutView="85" workbookViewId="0">
      <selection activeCell="K9" sqref="K9"/>
    </sheetView>
  </sheetViews>
  <sheetFormatPr defaultRowHeight="12.75" x14ac:dyDescent="0.2"/>
  <cols>
    <col min="1" max="1" width="14.5703125" bestFit="1" customWidth="1"/>
    <col min="2" max="2" width="15.42578125" customWidth="1"/>
    <col min="3" max="3" width="17.42578125" customWidth="1"/>
    <col min="4" max="4" width="13" customWidth="1"/>
    <col min="7" max="7" width="49.28515625" customWidth="1"/>
    <col min="8" max="8" width="14.28515625" hidden="1" customWidth="1"/>
    <col min="9" max="9" width="10.42578125" bestFit="1" customWidth="1"/>
    <col min="10" max="10" width="14" bestFit="1" customWidth="1"/>
  </cols>
  <sheetData>
    <row r="1" spans="1:10" ht="108" customHeight="1" x14ac:dyDescent="0.2">
      <c r="A1" s="631" t="s">
        <v>1412</v>
      </c>
      <c r="B1" s="698"/>
      <c r="C1" s="698"/>
      <c r="D1" s="698"/>
      <c r="E1" s="698"/>
      <c r="F1" s="698"/>
      <c r="G1" s="698"/>
      <c r="H1" s="698"/>
      <c r="I1" s="698"/>
      <c r="J1" s="699"/>
    </row>
    <row r="2" spans="1:10" ht="32.25" customHeight="1" x14ac:dyDescent="0.2">
      <c r="A2" s="430" t="str">
        <f>RESUMO!A2</f>
        <v>OBRA:</v>
      </c>
      <c r="B2" s="639" t="str">
        <f>RESUMO!B2</f>
        <v>EXECUÇÃO DE REDE DE DISTRIBUIÇÃO DE MÉDIA TENSÃO, POSTO DE TRANSFORMAÇÃO DE 225KVA E 45KVA- HOSPITAL VETERINÁRIO CENTRO DE REABILITAÇÃO DE ANIMAIS SILVESTRES - CRAS</v>
      </c>
      <c r="C2" s="639"/>
      <c r="D2" s="639"/>
      <c r="E2" s="639"/>
      <c r="F2" s="639"/>
      <c r="G2" s="639"/>
      <c r="H2" s="639"/>
      <c r="I2" s="639"/>
      <c r="J2" s="640"/>
    </row>
    <row r="3" spans="1:10" ht="15.75" x14ac:dyDescent="0.2">
      <c r="A3" s="430" t="str">
        <f>RESUMO!A3</f>
        <v>ENDEREÇO:</v>
      </c>
      <c r="B3" s="639" t="str">
        <f>RESUMO!B3</f>
        <v>RUA DE ACESSO AO INPE (ATRÁS DA ASSOFT), BAIRRO CENTRO POLITICO ADMINISTRATIVO, CUIABÁ-MT</v>
      </c>
      <c r="C3" s="639"/>
      <c r="D3" s="639"/>
      <c r="E3" s="639"/>
      <c r="F3" s="639"/>
      <c r="G3" s="639"/>
      <c r="H3" s="639"/>
      <c r="I3" s="639"/>
      <c r="J3" s="640"/>
    </row>
    <row r="4" spans="1:10" ht="15.75" x14ac:dyDescent="0.2">
      <c r="A4" s="430" t="str">
        <f>RESUMO!A4</f>
        <v>MUNICÍPIO:</v>
      </c>
      <c r="B4" s="898" t="str">
        <f>RESUMO!B4</f>
        <v>CUIABÁ - MT</v>
      </c>
      <c r="C4" s="898"/>
      <c r="D4" s="898"/>
      <c r="E4" s="898"/>
      <c r="F4" s="898"/>
      <c r="G4" s="898"/>
      <c r="H4" s="898"/>
      <c r="I4" s="431" t="str">
        <f>RESUMO!C3</f>
        <v>BDI:</v>
      </c>
      <c r="J4" s="432">
        <f>BDI!D30</f>
        <v>0.22226164190779008</v>
      </c>
    </row>
    <row r="5" spans="1:10" ht="30.75" customHeight="1" x14ac:dyDescent="0.2">
      <c r="A5" s="430" t="str">
        <f>RESUMO!A5</f>
        <v>ASSUNTO:</v>
      </c>
      <c r="B5" s="639" t="str">
        <f>RESUMO!B5</f>
        <v xml:space="preserve">PROJETO ELÉTRICO DE REDE DE DISTRIBUIÇÃO DE MÉDIA TENSÃO, POSTO DE TRANSFORMAÇÃO DE 225KVA E 45KVA </v>
      </c>
      <c r="C5" s="639"/>
      <c r="D5" s="639"/>
      <c r="E5" s="639"/>
      <c r="F5" s="639"/>
      <c r="G5" s="639"/>
      <c r="H5" s="639"/>
      <c r="I5" s="433" t="str">
        <f>RESUMO!C4</f>
        <v>DATA:</v>
      </c>
      <c r="J5" s="434">
        <f>RESUMO!D4</f>
        <v>44869</v>
      </c>
    </row>
    <row r="6" spans="1:10" x14ac:dyDescent="0.2">
      <c r="A6" s="899"/>
      <c r="B6" s="900"/>
      <c r="C6" s="900"/>
      <c r="D6" s="900"/>
      <c r="E6" s="900"/>
      <c r="F6" s="900"/>
      <c r="G6" s="900"/>
      <c r="H6" s="900"/>
      <c r="I6" s="900"/>
      <c r="J6" s="901"/>
    </row>
    <row r="7" spans="1:10" x14ac:dyDescent="0.2">
      <c r="A7" s="899"/>
      <c r="B7" s="900"/>
      <c r="C7" s="900"/>
      <c r="D7" s="900"/>
      <c r="E7" s="900"/>
      <c r="F7" s="900"/>
      <c r="G7" s="900"/>
      <c r="H7" s="900"/>
      <c r="I7" s="900"/>
      <c r="J7" s="901"/>
    </row>
    <row r="8" spans="1:10" x14ac:dyDescent="0.2">
      <c r="A8" s="899"/>
      <c r="B8" s="900"/>
      <c r="C8" s="900"/>
      <c r="D8" s="900"/>
      <c r="E8" s="900"/>
      <c r="F8" s="900"/>
      <c r="G8" s="900"/>
      <c r="H8" s="900"/>
      <c r="I8" s="900"/>
      <c r="J8" s="901"/>
    </row>
    <row r="9" spans="1:10" x14ac:dyDescent="0.2">
      <c r="A9" s="899"/>
      <c r="B9" s="900"/>
      <c r="C9" s="900"/>
      <c r="D9" s="900"/>
      <c r="E9" s="900"/>
      <c r="F9" s="900"/>
      <c r="G9" s="900"/>
      <c r="H9" s="900"/>
      <c r="I9" s="900"/>
      <c r="J9" s="901"/>
    </row>
    <row r="10" spans="1:10" x14ac:dyDescent="0.2">
      <c r="A10" s="899"/>
      <c r="B10" s="900"/>
      <c r="C10" s="900"/>
      <c r="D10" s="900"/>
      <c r="E10" s="900"/>
      <c r="F10" s="900"/>
      <c r="G10" s="900"/>
      <c r="H10" s="900"/>
      <c r="I10" s="900"/>
      <c r="J10" s="901"/>
    </row>
    <row r="11" spans="1:10" x14ac:dyDescent="0.2">
      <c r="A11" s="899"/>
      <c r="B11" s="900"/>
      <c r="C11" s="900"/>
      <c r="D11" s="900"/>
      <c r="E11" s="900"/>
      <c r="F11" s="900"/>
      <c r="G11" s="900"/>
      <c r="H11" s="900"/>
      <c r="I11" s="900"/>
      <c r="J11" s="901"/>
    </row>
    <row r="12" spans="1:10" x14ac:dyDescent="0.2">
      <c r="A12" s="899"/>
      <c r="B12" s="900"/>
      <c r="C12" s="900"/>
      <c r="D12" s="900"/>
      <c r="E12" s="900"/>
      <c r="F12" s="900"/>
      <c r="G12" s="900"/>
      <c r="H12" s="900"/>
      <c r="I12" s="900"/>
      <c r="J12" s="901"/>
    </row>
    <row r="13" spans="1:10" x14ac:dyDescent="0.2">
      <c r="A13" s="899"/>
      <c r="B13" s="900"/>
      <c r="C13" s="900"/>
      <c r="D13" s="900"/>
      <c r="E13" s="900"/>
      <c r="F13" s="900"/>
      <c r="G13" s="900"/>
      <c r="H13" s="900"/>
      <c r="I13" s="900"/>
      <c r="J13" s="901"/>
    </row>
    <row r="14" spans="1:10" x14ac:dyDescent="0.2">
      <c r="A14" s="899"/>
      <c r="B14" s="900"/>
      <c r="C14" s="900"/>
      <c r="D14" s="900"/>
      <c r="E14" s="900"/>
      <c r="F14" s="900"/>
      <c r="G14" s="900"/>
      <c r="H14" s="900"/>
      <c r="I14" s="900"/>
      <c r="J14" s="901"/>
    </row>
    <row r="15" spans="1:10" x14ac:dyDescent="0.2">
      <c r="A15" s="899"/>
      <c r="B15" s="900"/>
      <c r="C15" s="900"/>
      <c r="D15" s="900"/>
      <c r="E15" s="900"/>
      <c r="F15" s="900"/>
      <c r="G15" s="900"/>
      <c r="H15" s="900"/>
      <c r="I15" s="900"/>
      <c r="J15" s="901"/>
    </row>
    <row r="16" spans="1:10" x14ac:dyDescent="0.2">
      <c r="A16" s="899"/>
      <c r="B16" s="900"/>
      <c r="C16" s="900"/>
      <c r="D16" s="900"/>
      <c r="E16" s="900"/>
      <c r="F16" s="900"/>
      <c r="G16" s="900"/>
      <c r="H16" s="900"/>
      <c r="I16" s="900"/>
      <c r="J16" s="901"/>
    </row>
    <row r="17" spans="1:10" x14ac:dyDescent="0.2">
      <c r="A17" s="899"/>
      <c r="B17" s="900"/>
      <c r="C17" s="900"/>
      <c r="D17" s="900"/>
      <c r="E17" s="900"/>
      <c r="F17" s="900"/>
      <c r="G17" s="900"/>
      <c r="H17" s="900"/>
      <c r="I17" s="900"/>
      <c r="J17" s="901"/>
    </row>
    <row r="18" spans="1:10" x14ac:dyDescent="0.2">
      <c r="A18" s="899"/>
      <c r="B18" s="900"/>
      <c r="C18" s="900"/>
      <c r="D18" s="900"/>
      <c r="E18" s="900"/>
      <c r="F18" s="900"/>
      <c r="G18" s="900"/>
      <c r="H18" s="900"/>
      <c r="I18" s="900"/>
      <c r="J18" s="901"/>
    </row>
    <row r="19" spans="1:10" x14ac:dyDescent="0.2">
      <c r="A19" s="899"/>
      <c r="B19" s="900"/>
      <c r="C19" s="900"/>
      <c r="D19" s="900"/>
      <c r="E19" s="900"/>
      <c r="F19" s="900"/>
      <c r="G19" s="900"/>
      <c r="H19" s="900"/>
      <c r="I19" s="900"/>
      <c r="J19" s="901"/>
    </row>
    <row r="20" spans="1:10" x14ac:dyDescent="0.2">
      <c r="A20" s="899"/>
      <c r="B20" s="900"/>
      <c r="C20" s="900"/>
      <c r="D20" s="900"/>
      <c r="E20" s="900"/>
      <c r="F20" s="900"/>
      <c r="G20" s="900"/>
      <c r="H20" s="900"/>
      <c r="I20" s="900"/>
      <c r="J20" s="901"/>
    </row>
    <row r="21" spans="1:10" x14ac:dyDescent="0.2">
      <c r="A21" s="899"/>
      <c r="B21" s="900"/>
      <c r="C21" s="900"/>
      <c r="D21" s="900"/>
      <c r="E21" s="900"/>
      <c r="F21" s="900"/>
      <c r="G21" s="900"/>
      <c r="H21" s="900"/>
      <c r="I21" s="900"/>
      <c r="J21" s="901"/>
    </row>
    <row r="22" spans="1:10" x14ac:dyDescent="0.2">
      <c r="A22" s="899"/>
      <c r="B22" s="900"/>
      <c r="C22" s="900"/>
      <c r="D22" s="900"/>
      <c r="E22" s="900"/>
      <c r="F22" s="900"/>
      <c r="G22" s="900"/>
      <c r="H22" s="900"/>
      <c r="I22" s="900"/>
      <c r="J22" s="901"/>
    </row>
    <row r="23" spans="1:10" x14ac:dyDescent="0.2">
      <c r="A23" s="899"/>
      <c r="B23" s="900"/>
      <c r="C23" s="900"/>
      <c r="D23" s="900"/>
      <c r="E23" s="900"/>
      <c r="F23" s="900"/>
      <c r="G23" s="900"/>
      <c r="H23" s="900"/>
      <c r="I23" s="900"/>
      <c r="J23" s="901"/>
    </row>
    <row r="24" spans="1:10" x14ac:dyDescent="0.2">
      <c r="A24" s="899"/>
      <c r="B24" s="900"/>
      <c r="C24" s="900"/>
      <c r="D24" s="900"/>
      <c r="E24" s="900"/>
      <c r="F24" s="900"/>
      <c r="G24" s="900"/>
      <c r="H24" s="900"/>
      <c r="I24" s="900"/>
      <c r="J24" s="901"/>
    </row>
    <row r="25" spans="1:10" x14ac:dyDescent="0.2">
      <c r="A25" s="899"/>
      <c r="B25" s="900"/>
      <c r="C25" s="900"/>
      <c r="D25" s="900"/>
      <c r="E25" s="900"/>
      <c r="F25" s="900"/>
      <c r="G25" s="900"/>
      <c r="H25" s="900"/>
      <c r="I25" s="900"/>
      <c r="J25" s="901"/>
    </row>
    <row r="26" spans="1:10" x14ac:dyDescent="0.2">
      <c r="A26" s="899"/>
      <c r="B26" s="900"/>
      <c r="C26" s="900"/>
      <c r="D26" s="900"/>
      <c r="E26" s="900"/>
      <c r="F26" s="900"/>
      <c r="G26" s="900"/>
      <c r="H26" s="900"/>
      <c r="I26" s="900"/>
      <c r="J26" s="901"/>
    </row>
    <row r="27" spans="1:10" x14ac:dyDescent="0.2">
      <c r="A27" s="899"/>
      <c r="B27" s="900"/>
      <c r="C27" s="900"/>
      <c r="D27" s="900"/>
      <c r="E27" s="900"/>
      <c r="F27" s="900"/>
      <c r="G27" s="900"/>
      <c r="H27" s="900"/>
      <c r="I27" s="900"/>
      <c r="J27" s="901"/>
    </row>
    <row r="28" spans="1:10" x14ac:dyDescent="0.2">
      <c r="A28" s="899"/>
      <c r="B28" s="900"/>
      <c r="C28" s="900"/>
      <c r="D28" s="900"/>
      <c r="E28" s="900"/>
      <c r="F28" s="900"/>
      <c r="G28" s="900"/>
      <c r="H28" s="900"/>
      <c r="I28" s="900"/>
      <c r="J28" s="901"/>
    </row>
    <row r="29" spans="1:10" x14ac:dyDescent="0.2">
      <c r="A29" s="899"/>
      <c r="B29" s="900"/>
      <c r="C29" s="900"/>
      <c r="D29" s="900"/>
      <c r="E29" s="900"/>
      <c r="F29" s="900"/>
      <c r="G29" s="900"/>
      <c r="H29" s="900"/>
      <c r="I29" s="900"/>
      <c r="J29" s="901"/>
    </row>
    <row r="30" spans="1:10" x14ac:dyDescent="0.2">
      <c r="A30" s="899"/>
      <c r="B30" s="900"/>
      <c r="C30" s="900"/>
      <c r="D30" s="900"/>
      <c r="E30" s="900"/>
      <c r="F30" s="900"/>
      <c r="G30" s="900"/>
      <c r="H30" s="900"/>
      <c r="I30" s="900"/>
      <c r="J30" s="901"/>
    </row>
    <row r="31" spans="1:10" x14ac:dyDescent="0.2">
      <c r="A31" s="899"/>
      <c r="B31" s="900"/>
      <c r="C31" s="900"/>
      <c r="D31" s="900"/>
      <c r="E31" s="900"/>
      <c r="F31" s="900"/>
      <c r="G31" s="900"/>
      <c r="H31" s="900"/>
      <c r="I31" s="900"/>
      <c r="J31" s="901"/>
    </row>
    <row r="32" spans="1:10" x14ac:dyDescent="0.2">
      <c r="A32" s="899"/>
      <c r="B32" s="900"/>
      <c r="C32" s="900"/>
      <c r="D32" s="900"/>
      <c r="E32" s="900"/>
      <c r="F32" s="900"/>
      <c r="G32" s="900"/>
      <c r="H32" s="900"/>
      <c r="I32" s="900"/>
      <c r="J32" s="901"/>
    </row>
    <row r="33" spans="1:10" x14ac:dyDescent="0.2">
      <c r="A33" s="899"/>
      <c r="B33" s="900"/>
      <c r="C33" s="900"/>
      <c r="D33" s="900"/>
      <c r="E33" s="900"/>
      <c r="F33" s="900"/>
      <c r="G33" s="900"/>
      <c r="H33" s="900"/>
      <c r="I33" s="900"/>
      <c r="J33" s="901"/>
    </row>
    <row r="34" spans="1:10" x14ac:dyDescent="0.2">
      <c r="A34" s="899"/>
      <c r="B34" s="900"/>
      <c r="C34" s="900"/>
      <c r="D34" s="900"/>
      <c r="E34" s="900"/>
      <c r="F34" s="900"/>
      <c r="G34" s="900"/>
      <c r="H34" s="900"/>
      <c r="I34" s="900"/>
      <c r="J34" s="901"/>
    </row>
    <row r="35" spans="1:10" x14ac:dyDescent="0.2">
      <c r="A35" s="899"/>
      <c r="B35" s="900"/>
      <c r="C35" s="900"/>
      <c r="D35" s="900"/>
      <c r="E35" s="900"/>
      <c r="F35" s="900"/>
      <c r="G35" s="900"/>
      <c r="H35" s="900"/>
      <c r="I35" s="900"/>
      <c r="J35" s="901"/>
    </row>
    <row r="36" spans="1:10" x14ac:dyDescent="0.2">
      <c r="A36" s="899"/>
      <c r="B36" s="900"/>
      <c r="C36" s="900"/>
      <c r="D36" s="900"/>
      <c r="E36" s="900"/>
      <c r="F36" s="900"/>
      <c r="G36" s="900"/>
      <c r="H36" s="900"/>
      <c r="I36" s="900"/>
      <c r="J36" s="901"/>
    </row>
    <row r="37" spans="1:10" x14ac:dyDescent="0.2">
      <c r="A37" s="899"/>
      <c r="B37" s="900"/>
      <c r="C37" s="900"/>
      <c r="D37" s="900"/>
      <c r="E37" s="900"/>
      <c r="F37" s="900"/>
      <c r="G37" s="900"/>
      <c r="H37" s="900"/>
      <c r="I37" s="900"/>
      <c r="J37" s="901"/>
    </row>
    <row r="38" spans="1:10" x14ac:dyDescent="0.2">
      <c r="A38" s="899"/>
      <c r="B38" s="900"/>
      <c r="C38" s="900"/>
      <c r="D38" s="900"/>
      <c r="E38" s="900"/>
      <c r="F38" s="900"/>
      <c r="G38" s="900"/>
      <c r="H38" s="900"/>
      <c r="I38" s="900"/>
      <c r="J38" s="901"/>
    </row>
    <row r="39" spans="1:10" x14ac:dyDescent="0.2">
      <c r="A39" s="899"/>
      <c r="B39" s="900"/>
      <c r="C39" s="900"/>
      <c r="D39" s="900"/>
      <c r="E39" s="900"/>
      <c r="F39" s="900"/>
      <c r="G39" s="900"/>
      <c r="H39" s="900"/>
      <c r="I39" s="900"/>
      <c r="J39" s="901"/>
    </row>
    <row r="40" spans="1:10" x14ac:dyDescent="0.2">
      <c r="A40" s="899"/>
      <c r="B40" s="900"/>
      <c r="C40" s="900"/>
      <c r="D40" s="900"/>
      <c r="E40" s="900"/>
      <c r="F40" s="900"/>
      <c r="G40" s="900"/>
      <c r="H40" s="900"/>
      <c r="I40" s="900"/>
      <c r="J40" s="901"/>
    </row>
    <row r="41" spans="1:10" x14ac:dyDescent="0.2">
      <c r="A41" s="899"/>
      <c r="B41" s="900"/>
      <c r="C41" s="900"/>
      <c r="D41" s="900"/>
      <c r="E41" s="900"/>
      <c r="F41" s="900"/>
      <c r="G41" s="900"/>
      <c r="H41" s="900"/>
      <c r="I41" s="900"/>
      <c r="J41" s="901"/>
    </row>
    <row r="42" spans="1:10" x14ac:dyDescent="0.2">
      <c r="A42" s="899"/>
      <c r="B42" s="900"/>
      <c r="C42" s="900"/>
      <c r="D42" s="900"/>
      <c r="E42" s="900"/>
      <c r="F42" s="900"/>
      <c r="G42" s="900"/>
      <c r="H42" s="900"/>
      <c r="I42" s="900"/>
      <c r="J42" s="901"/>
    </row>
    <row r="43" spans="1:10" x14ac:dyDescent="0.2">
      <c r="A43" s="899"/>
      <c r="B43" s="900"/>
      <c r="C43" s="900"/>
      <c r="D43" s="900"/>
      <c r="E43" s="900"/>
      <c r="F43" s="900"/>
      <c r="G43" s="900"/>
      <c r="H43" s="900"/>
      <c r="I43" s="900"/>
      <c r="J43" s="901"/>
    </row>
    <row r="44" spans="1:10" x14ac:dyDescent="0.2">
      <c r="A44" s="899"/>
      <c r="B44" s="900"/>
      <c r="C44" s="900"/>
      <c r="D44" s="900"/>
      <c r="E44" s="900"/>
      <c r="F44" s="900"/>
      <c r="G44" s="900"/>
      <c r="H44" s="900"/>
      <c r="I44" s="900"/>
      <c r="J44" s="901"/>
    </row>
    <row r="45" spans="1:10" x14ac:dyDescent="0.2">
      <c r="A45" s="899"/>
      <c r="B45" s="900"/>
      <c r="C45" s="900"/>
      <c r="D45" s="900"/>
      <c r="E45" s="900"/>
      <c r="F45" s="900"/>
      <c r="G45" s="900"/>
      <c r="H45" s="900"/>
      <c r="I45" s="900"/>
      <c r="J45" s="901"/>
    </row>
    <row r="46" spans="1:10" x14ac:dyDescent="0.2">
      <c r="A46" s="899"/>
      <c r="B46" s="900"/>
      <c r="C46" s="900"/>
      <c r="D46" s="900"/>
      <c r="E46" s="900"/>
      <c r="F46" s="900"/>
      <c r="G46" s="900"/>
      <c r="H46" s="900"/>
      <c r="I46" s="900"/>
      <c r="J46" s="901"/>
    </row>
    <row r="47" spans="1:10" x14ac:dyDescent="0.2">
      <c r="A47" s="892"/>
      <c r="B47" s="893"/>
      <c r="C47" s="893"/>
      <c r="D47" s="893"/>
      <c r="E47" s="893"/>
      <c r="F47" s="893"/>
      <c r="G47" s="893"/>
      <c r="H47" s="893"/>
      <c r="I47" s="893"/>
      <c r="J47" s="894"/>
    </row>
    <row r="48" spans="1:10" x14ac:dyDescent="0.2">
      <c r="A48" s="892"/>
      <c r="B48" s="893"/>
      <c r="C48" s="893"/>
      <c r="D48" s="893"/>
      <c r="E48" s="893"/>
      <c r="F48" s="893"/>
      <c r="G48" s="893"/>
      <c r="H48" s="893"/>
      <c r="I48" s="893"/>
      <c r="J48" s="894"/>
    </row>
    <row r="49" spans="1:10" x14ac:dyDescent="0.2">
      <c r="A49" s="892"/>
      <c r="B49" s="893"/>
      <c r="C49" s="893"/>
      <c r="D49" s="893"/>
      <c r="E49" s="893"/>
      <c r="F49" s="893"/>
      <c r="G49" s="893"/>
      <c r="H49" s="893"/>
      <c r="I49" s="893"/>
      <c r="J49" s="894"/>
    </row>
    <row r="50" spans="1:10" x14ac:dyDescent="0.2">
      <c r="A50" s="892"/>
      <c r="B50" s="893"/>
      <c r="C50" s="893"/>
      <c r="D50" s="893"/>
      <c r="E50" s="893"/>
      <c r="F50" s="893"/>
      <c r="G50" s="893"/>
      <c r="H50" s="893"/>
      <c r="I50" s="893"/>
      <c r="J50" s="894"/>
    </row>
    <row r="51" spans="1:10" x14ac:dyDescent="0.2">
      <c r="A51" s="892"/>
      <c r="B51" s="893"/>
      <c r="C51" s="893"/>
      <c r="D51" s="893"/>
      <c r="E51" s="893"/>
      <c r="F51" s="893"/>
      <c r="G51" s="893"/>
      <c r="H51" s="893"/>
      <c r="I51" s="893"/>
      <c r="J51" s="894"/>
    </row>
    <row r="52" spans="1:10" x14ac:dyDescent="0.2">
      <c r="A52" s="892"/>
      <c r="B52" s="893"/>
      <c r="C52" s="893"/>
      <c r="D52" s="893"/>
      <c r="E52" s="893"/>
      <c r="F52" s="893"/>
      <c r="G52" s="893"/>
      <c r="H52" s="893"/>
      <c r="I52" s="893"/>
      <c r="J52" s="894"/>
    </row>
    <row r="53" spans="1:10" x14ac:dyDescent="0.2">
      <c r="A53" s="892"/>
      <c r="B53" s="893"/>
      <c r="C53" s="893"/>
      <c r="D53" s="893"/>
      <c r="E53" s="893"/>
      <c r="F53" s="893"/>
      <c r="G53" s="893"/>
      <c r="H53" s="893"/>
      <c r="I53" s="893"/>
      <c r="J53" s="894"/>
    </row>
    <row r="54" spans="1:10" x14ac:dyDescent="0.2">
      <c r="A54" s="892"/>
      <c r="B54" s="893"/>
      <c r="C54" s="893"/>
      <c r="D54" s="893"/>
      <c r="E54" s="893"/>
      <c r="F54" s="893"/>
      <c r="G54" s="893"/>
      <c r="H54" s="893"/>
      <c r="I54" s="893"/>
      <c r="J54" s="894"/>
    </row>
    <row r="55" spans="1:10" x14ac:dyDescent="0.2">
      <c r="A55" s="892"/>
      <c r="B55" s="893"/>
      <c r="C55" s="893"/>
      <c r="D55" s="893"/>
      <c r="E55" s="893"/>
      <c r="F55" s="893"/>
      <c r="G55" s="893"/>
      <c r="H55" s="893"/>
      <c r="I55" s="893"/>
      <c r="J55" s="894"/>
    </row>
    <row r="56" spans="1:10" x14ac:dyDescent="0.2">
      <c r="A56" s="892"/>
      <c r="B56" s="893"/>
      <c r="C56" s="893"/>
      <c r="D56" s="893"/>
      <c r="E56" s="893"/>
      <c r="F56" s="893"/>
      <c r="G56" s="893"/>
      <c r="H56" s="893"/>
      <c r="I56" s="893"/>
      <c r="J56" s="894"/>
    </row>
    <row r="57" spans="1:10" x14ac:dyDescent="0.2">
      <c r="A57" s="892"/>
      <c r="B57" s="893"/>
      <c r="C57" s="893"/>
      <c r="D57" s="893"/>
      <c r="E57" s="893"/>
      <c r="F57" s="893"/>
      <c r="G57" s="893"/>
      <c r="H57" s="893"/>
      <c r="I57" s="893"/>
      <c r="J57" s="894"/>
    </row>
    <row r="58" spans="1:10" x14ac:dyDescent="0.2">
      <c r="A58" s="892"/>
      <c r="B58" s="893"/>
      <c r="C58" s="893"/>
      <c r="D58" s="893"/>
      <c r="E58" s="893"/>
      <c r="F58" s="893"/>
      <c r="G58" s="893"/>
      <c r="H58" s="893"/>
      <c r="I58" s="893"/>
      <c r="J58" s="894"/>
    </row>
    <row r="59" spans="1:10" x14ac:dyDescent="0.2">
      <c r="A59" s="892"/>
      <c r="B59" s="893"/>
      <c r="C59" s="893"/>
      <c r="D59" s="893"/>
      <c r="E59" s="893"/>
      <c r="F59" s="893"/>
      <c r="G59" s="893"/>
      <c r="H59" s="893"/>
      <c r="I59" s="893"/>
      <c r="J59" s="894"/>
    </row>
    <row r="60" spans="1:10" x14ac:dyDescent="0.2">
      <c r="A60" s="892"/>
      <c r="B60" s="893"/>
      <c r="C60" s="893"/>
      <c r="D60" s="893"/>
      <c r="E60" s="893"/>
      <c r="F60" s="893"/>
      <c r="G60" s="893"/>
      <c r="H60" s="893"/>
      <c r="I60" s="893"/>
      <c r="J60" s="894"/>
    </row>
    <row r="61" spans="1:10" x14ac:dyDescent="0.2">
      <c r="A61" s="892"/>
      <c r="B61" s="893"/>
      <c r="C61" s="893"/>
      <c r="D61" s="893"/>
      <c r="E61" s="893"/>
      <c r="F61" s="893"/>
      <c r="G61" s="893"/>
      <c r="H61" s="893"/>
      <c r="I61" s="893"/>
      <c r="J61" s="894"/>
    </row>
    <row r="62" spans="1:10" x14ac:dyDescent="0.2">
      <c r="A62" s="892"/>
      <c r="B62" s="893"/>
      <c r="C62" s="893"/>
      <c r="D62" s="893"/>
      <c r="E62" s="893"/>
      <c r="F62" s="893"/>
      <c r="G62" s="893"/>
      <c r="H62" s="893"/>
      <c r="I62" s="893"/>
      <c r="J62" s="894"/>
    </row>
    <row r="63" spans="1:10" x14ac:dyDescent="0.2">
      <c r="A63" s="892"/>
      <c r="B63" s="893"/>
      <c r="C63" s="893"/>
      <c r="D63" s="893"/>
      <c r="E63" s="893"/>
      <c r="F63" s="893"/>
      <c r="G63" s="893"/>
      <c r="H63" s="893"/>
      <c r="I63" s="893"/>
      <c r="J63" s="894"/>
    </row>
    <row r="64" spans="1:10" x14ac:dyDescent="0.2">
      <c r="A64" s="892"/>
      <c r="B64" s="893"/>
      <c r="C64" s="893"/>
      <c r="D64" s="893"/>
      <c r="E64" s="893"/>
      <c r="F64" s="893"/>
      <c r="G64" s="893"/>
      <c r="H64" s="893"/>
      <c r="I64" s="893"/>
      <c r="J64" s="894"/>
    </row>
    <row r="65" spans="1:10" x14ac:dyDescent="0.2">
      <c r="A65" s="892"/>
      <c r="B65" s="893"/>
      <c r="C65" s="893"/>
      <c r="D65" s="893"/>
      <c r="E65" s="893"/>
      <c r="F65" s="893"/>
      <c r="G65" s="893"/>
      <c r="H65" s="893"/>
      <c r="I65" s="893"/>
      <c r="J65" s="894"/>
    </row>
    <row r="66" spans="1:10" x14ac:dyDescent="0.2">
      <c r="A66" s="892"/>
      <c r="B66" s="893"/>
      <c r="C66" s="893"/>
      <c r="D66" s="893"/>
      <c r="E66" s="893"/>
      <c r="F66" s="893"/>
      <c r="G66" s="893"/>
      <c r="H66" s="893"/>
      <c r="I66" s="893"/>
      <c r="J66" s="894"/>
    </row>
    <row r="67" spans="1:10" x14ac:dyDescent="0.2">
      <c r="A67" s="892"/>
      <c r="B67" s="893"/>
      <c r="C67" s="893"/>
      <c r="D67" s="893"/>
      <c r="E67" s="893"/>
      <c r="F67" s="893"/>
      <c r="G67" s="893"/>
      <c r="H67" s="893"/>
      <c r="I67" s="893"/>
      <c r="J67" s="894"/>
    </row>
    <row r="68" spans="1:10" x14ac:dyDescent="0.2">
      <c r="A68" s="892"/>
      <c r="B68" s="893"/>
      <c r="C68" s="893"/>
      <c r="D68" s="893"/>
      <c r="E68" s="893"/>
      <c r="F68" s="893"/>
      <c r="G68" s="893"/>
      <c r="H68" s="893"/>
      <c r="I68" s="893"/>
      <c r="J68" s="894"/>
    </row>
    <row r="69" spans="1:10" x14ac:dyDescent="0.2">
      <c r="A69" s="892"/>
      <c r="B69" s="893"/>
      <c r="C69" s="893"/>
      <c r="D69" s="893"/>
      <c r="E69" s="893"/>
      <c r="F69" s="893"/>
      <c r="G69" s="893"/>
      <c r="H69" s="893"/>
      <c r="I69" s="893"/>
      <c r="J69" s="894"/>
    </row>
    <row r="70" spans="1:10" x14ac:dyDescent="0.2">
      <c r="A70" s="892"/>
      <c r="B70" s="893"/>
      <c r="C70" s="893"/>
      <c r="D70" s="893"/>
      <c r="E70" s="893"/>
      <c r="F70" s="893"/>
      <c r="G70" s="893"/>
      <c r="H70" s="893"/>
      <c r="I70" s="893"/>
      <c r="J70" s="894"/>
    </row>
    <row r="71" spans="1:10" x14ac:dyDescent="0.2">
      <c r="A71" s="892"/>
      <c r="B71" s="893"/>
      <c r="C71" s="893"/>
      <c r="D71" s="893"/>
      <c r="E71" s="893"/>
      <c r="F71" s="893"/>
      <c r="G71" s="893"/>
      <c r="H71" s="893"/>
      <c r="I71" s="893"/>
      <c r="J71" s="894"/>
    </row>
    <row r="72" spans="1:10" x14ac:dyDescent="0.2">
      <c r="A72" s="892"/>
      <c r="B72" s="893"/>
      <c r="C72" s="893"/>
      <c r="D72" s="893"/>
      <c r="E72" s="893"/>
      <c r="F72" s="893"/>
      <c r="G72" s="893"/>
      <c r="H72" s="893"/>
      <c r="I72" s="893"/>
      <c r="J72" s="894"/>
    </row>
    <row r="73" spans="1:10" x14ac:dyDescent="0.2">
      <c r="A73" s="892"/>
      <c r="B73" s="893"/>
      <c r="C73" s="893"/>
      <c r="D73" s="893"/>
      <c r="E73" s="893"/>
      <c r="F73" s="893"/>
      <c r="G73" s="893"/>
      <c r="H73" s="893"/>
      <c r="I73" s="893"/>
      <c r="J73" s="894"/>
    </row>
    <row r="74" spans="1:10" x14ac:dyDescent="0.2">
      <c r="A74" s="892"/>
      <c r="B74" s="893"/>
      <c r="C74" s="893"/>
      <c r="D74" s="893"/>
      <c r="E74" s="893"/>
      <c r="F74" s="893"/>
      <c r="G74" s="893"/>
      <c r="H74" s="893"/>
      <c r="I74" s="893"/>
      <c r="J74" s="894"/>
    </row>
    <row r="75" spans="1:10" x14ac:dyDescent="0.2">
      <c r="A75" s="892"/>
      <c r="B75" s="893"/>
      <c r="C75" s="893"/>
      <c r="D75" s="893"/>
      <c r="E75" s="893"/>
      <c r="F75" s="893"/>
      <c r="G75" s="893"/>
      <c r="H75" s="893"/>
      <c r="I75" s="893"/>
      <c r="J75" s="894"/>
    </row>
    <row r="76" spans="1:10" x14ac:dyDescent="0.2">
      <c r="A76" s="892"/>
      <c r="B76" s="893"/>
      <c r="C76" s="893"/>
      <c r="D76" s="893"/>
      <c r="E76" s="893"/>
      <c r="F76" s="893"/>
      <c r="G76" s="893"/>
      <c r="H76" s="893"/>
      <c r="I76" s="893"/>
      <c r="J76" s="894"/>
    </row>
    <row r="77" spans="1:10" x14ac:dyDescent="0.2">
      <c r="A77" s="892"/>
      <c r="B77" s="893"/>
      <c r="C77" s="893"/>
      <c r="D77" s="893"/>
      <c r="E77" s="893"/>
      <c r="F77" s="893"/>
      <c r="G77" s="893"/>
      <c r="H77" s="893"/>
      <c r="I77" s="893"/>
      <c r="J77" s="894"/>
    </row>
    <row r="78" spans="1:10" x14ac:dyDescent="0.2">
      <c r="A78" s="892"/>
      <c r="B78" s="893"/>
      <c r="C78" s="893"/>
      <c r="D78" s="893"/>
      <c r="E78" s="893"/>
      <c r="F78" s="893"/>
      <c r="G78" s="893"/>
      <c r="H78" s="893"/>
      <c r="I78" s="893"/>
      <c r="J78" s="894"/>
    </row>
    <row r="79" spans="1:10" x14ac:dyDescent="0.2">
      <c r="A79" s="892"/>
      <c r="B79" s="893"/>
      <c r="C79" s="893"/>
      <c r="D79" s="893"/>
      <c r="E79" s="893"/>
      <c r="F79" s="893"/>
      <c r="G79" s="893"/>
      <c r="H79" s="893"/>
      <c r="I79" s="893"/>
      <c r="J79" s="894"/>
    </row>
    <row r="80" spans="1:10" x14ac:dyDescent="0.2">
      <c r="A80" s="892"/>
      <c r="B80" s="893"/>
      <c r="C80" s="893"/>
      <c r="D80" s="893"/>
      <c r="E80" s="893"/>
      <c r="F80" s="893"/>
      <c r="G80" s="893"/>
      <c r="H80" s="893"/>
      <c r="I80" s="893"/>
      <c r="J80" s="894"/>
    </row>
    <row r="81" spans="1:10" x14ac:dyDescent="0.2">
      <c r="A81" s="892"/>
      <c r="B81" s="893"/>
      <c r="C81" s="893"/>
      <c r="D81" s="893"/>
      <c r="E81" s="893"/>
      <c r="F81" s="893"/>
      <c r="G81" s="893"/>
      <c r="H81" s="893"/>
      <c r="I81" s="893"/>
      <c r="J81" s="894"/>
    </row>
    <row r="82" spans="1:10" x14ac:dyDescent="0.2">
      <c r="A82" s="892"/>
      <c r="B82" s="893"/>
      <c r="C82" s="893"/>
      <c r="D82" s="893"/>
      <c r="E82" s="893"/>
      <c r="F82" s="893"/>
      <c r="G82" s="893"/>
      <c r="H82" s="893"/>
      <c r="I82" s="893"/>
      <c r="J82" s="894"/>
    </row>
    <row r="83" spans="1:10" x14ac:dyDescent="0.2">
      <c r="A83" s="892"/>
      <c r="B83" s="893"/>
      <c r="C83" s="893"/>
      <c r="D83" s="893"/>
      <c r="E83" s="893"/>
      <c r="F83" s="893"/>
      <c r="G83" s="893"/>
      <c r="H83" s="893"/>
      <c r="I83" s="893"/>
      <c r="J83" s="894"/>
    </row>
    <row r="84" spans="1:10" x14ac:dyDescent="0.2">
      <c r="A84" s="892"/>
      <c r="B84" s="893"/>
      <c r="C84" s="893"/>
      <c r="D84" s="893"/>
      <c r="E84" s="893"/>
      <c r="F84" s="893"/>
      <c r="G84" s="893"/>
      <c r="H84" s="893"/>
      <c r="I84" s="893"/>
      <c r="J84" s="894"/>
    </row>
    <row r="85" spans="1:10" x14ac:dyDescent="0.2">
      <c r="A85" s="892"/>
      <c r="B85" s="893"/>
      <c r="C85" s="893"/>
      <c r="D85" s="893"/>
      <c r="E85" s="893"/>
      <c r="F85" s="893"/>
      <c r="G85" s="893"/>
      <c r="H85" s="893"/>
      <c r="I85" s="893"/>
      <c r="J85" s="894"/>
    </row>
    <row r="86" spans="1:10" x14ac:dyDescent="0.2">
      <c r="A86" s="892"/>
      <c r="B86" s="893"/>
      <c r="C86" s="893"/>
      <c r="D86" s="893"/>
      <c r="E86" s="893"/>
      <c r="F86" s="893"/>
      <c r="G86" s="893"/>
      <c r="H86" s="893"/>
      <c r="I86" s="893"/>
      <c r="J86" s="894"/>
    </row>
    <row r="87" spans="1:10" x14ac:dyDescent="0.2">
      <c r="A87" s="892"/>
      <c r="B87" s="893"/>
      <c r="C87" s="893"/>
      <c r="D87" s="893"/>
      <c r="E87" s="893"/>
      <c r="F87" s="893"/>
      <c r="G87" s="893"/>
      <c r="H87" s="893"/>
      <c r="I87" s="893"/>
      <c r="J87" s="894"/>
    </row>
    <row r="88" spans="1:10" x14ac:dyDescent="0.2">
      <c r="A88" s="892"/>
      <c r="B88" s="893"/>
      <c r="C88" s="893"/>
      <c r="D88" s="893"/>
      <c r="E88" s="893"/>
      <c r="F88" s="893"/>
      <c r="G88" s="893"/>
      <c r="H88" s="893"/>
      <c r="I88" s="893"/>
      <c r="J88" s="894"/>
    </row>
    <row r="89" spans="1:10" x14ac:dyDescent="0.2">
      <c r="A89" s="892"/>
      <c r="B89" s="893"/>
      <c r="C89" s="893"/>
      <c r="D89" s="893"/>
      <c r="E89" s="893"/>
      <c r="F89" s="893"/>
      <c r="G89" s="893"/>
      <c r="H89" s="893"/>
      <c r="I89" s="893"/>
      <c r="J89" s="894"/>
    </row>
    <row r="90" spans="1:10" x14ac:dyDescent="0.2">
      <c r="A90" s="892"/>
      <c r="B90" s="893"/>
      <c r="C90" s="893"/>
      <c r="D90" s="893"/>
      <c r="E90" s="893"/>
      <c r="F90" s="893"/>
      <c r="G90" s="893"/>
      <c r="H90" s="893"/>
      <c r="I90" s="893"/>
      <c r="J90" s="894"/>
    </row>
    <row r="91" spans="1:10" x14ac:dyDescent="0.2">
      <c r="A91" s="892"/>
      <c r="B91" s="893"/>
      <c r="C91" s="893"/>
      <c r="D91" s="893"/>
      <c r="E91" s="893"/>
      <c r="F91" s="893"/>
      <c r="G91" s="893"/>
      <c r="H91" s="893"/>
      <c r="I91" s="893"/>
      <c r="J91" s="894"/>
    </row>
    <row r="92" spans="1:10" x14ac:dyDescent="0.2">
      <c r="A92" s="892"/>
      <c r="B92" s="893"/>
      <c r="C92" s="893"/>
      <c r="D92" s="893"/>
      <c r="E92" s="893"/>
      <c r="F92" s="893"/>
      <c r="G92" s="893"/>
      <c r="H92" s="893"/>
      <c r="I92" s="893"/>
      <c r="J92" s="894"/>
    </row>
    <row r="93" spans="1:10" x14ac:dyDescent="0.2">
      <c r="A93" s="892"/>
      <c r="B93" s="893"/>
      <c r="C93" s="893"/>
      <c r="D93" s="893"/>
      <c r="E93" s="893"/>
      <c r="F93" s="893"/>
      <c r="G93" s="893"/>
      <c r="H93" s="893"/>
      <c r="I93" s="893"/>
      <c r="J93" s="894"/>
    </row>
    <row r="94" spans="1:10" x14ac:dyDescent="0.2">
      <c r="A94" s="892"/>
      <c r="B94" s="893"/>
      <c r="C94" s="893"/>
      <c r="D94" s="893"/>
      <c r="E94" s="893"/>
      <c r="F94" s="893"/>
      <c r="G94" s="893"/>
      <c r="H94" s="893"/>
      <c r="I94" s="893"/>
      <c r="J94" s="894"/>
    </row>
    <row r="95" spans="1:10" x14ac:dyDescent="0.2">
      <c r="A95" s="892"/>
      <c r="B95" s="893"/>
      <c r="C95" s="893"/>
      <c r="D95" s="893"/>
      <c r="E95" s="893"/>
      <c r="F95" s="893"/>
      <c r="G95" s="893"/>
      <c r="H95" s="893"/>
      <c r="I95" s="893"/>
      <c r="J95" s="894"/>
    </row>
    <row r="96" spans="1:10" x14ac:dyDescent="0.2">
      <c r="A96" s="892"/>
      <c r="B96" s="893"/>
      <c r="C96" s="893"/>
      <c r="D96" s="893"/>
      <c r="E96" s="893"/>
      <c r="F96" s="893"/>
      <c r="G96" s="893"/>
      <c r="H96" s="893"/>
      <c r="I96" s="893"/>
      <c r="J96" s="894"/>
    </row>
    <row r="97" spans="1:10" x14ac:dyDescent="0.2">
      <c r="A97" s="892"/>
      <c r="B97" s="893"/>
      <c r="C97" s="893"/>
      <c r="D97" s="893"/>
      <c r="E97" s="893"/>
      <c r="F97" s="893"/>
      <c r="G97" s="893"/>
      <c r="H97" s="893"/>
      <c r="I97" s="893"/>
      <c r="J97" s="894"/>
    </row>
    <row r="98" spans="1:10" ht="13.5" thickBot="1" x14ac:dyDescent="0.25">
      <c r="A98" s="895"/>
      <c r="B98" s="896"/>
      <c r="C98" s="896"/>
      <c r="D98" s="896"/>
      <c r="E98" s="896"/>
      <c r="F98" s="896"/>
      <c r="G98" s="896"/>
      <c r="H98" s="896"/>
      <c r="I98" s="896"/>
      <c r="J98" s="897"/>
    </row>
  </sheetData>
  <mergeCells count="7">
    <mergeCell ref="A47:J98"/>
    <mergeCell ref="A1:J1"/>
    <mergeCell ref="B2:J2"/>
    <mergeCell ref="B3:J3"/>
    <mergeCell ref="B4:H4"/>
    <mergeCell ref="B5:H5"/>
    <mergeCell ref="A6:J46"/>
  </mergeCells>
  <pageMargins left="0.25" right="0.25" top="0.75" bottom="0.75" header="0.3" footer="0.3"/>
  <pageSetup paperSize="9" scale="66" fitToHeight="0"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topLeftCell="A3"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29</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'9ª Med'!K9:L9+30</f>
        <v>39910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Reforma!AP147-G19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Aula'!AP90-G20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Elétrica!AP127-G22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Drenagem!AP23-G23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2:J12"/>
    <mergeCell ref="K12:L12"/>
    <mergeCell ref="I13:J13"/>
    <mergeCell ref="K10:L10"/>
    <mergeCell ref="I10:J10"/>
    <mergeCell ref="I11:J11"/>
    <mergeCell ref="K11:L11"/>
    <mergeCell ref="K13:L13"/>
    <mergeCell ref="A6:L6"/>
    <mergeCell ref="I7:J7"/>
    <mergeCell ref="I8:J8"/>
    <mergeCell ref="I9:J9"/>
    <mergeCell ref="K7:L7"/>
    <mergeCell ref="K8:L8"/>
    <mergeCell ref="K9:L9"/>
    <mergeCell ref="A25:B25"/>
    <mergeCell ref="H15:H17"/>
    <mergeCell ref="A15:A17"/>
    <mergeCell ref="D15:D17"/>
    <mergeCell ref="G15:G17"/>
    <mergeCell ref="B15:B17"/>
    <mergeCell ref="C15:C17"/>
    <mergeCell ref="E15:E17"/>
    <mergeCell ref="F15:F17"/>
    <mergeCell ref="I15:I17"/>
    <mergeCell ref="J15:J17"/>
    <mergeCell ref="I36:K36"/>
    <mergeCell ref="C30:L31"/>
    <mergeCell ref="K15:K17"/>
    <mergeCell ref="L15:L17"/>
    <mergeCell ref="D36:E36"/>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view="pageBreakPreview" zoomScaleNormal="70" zoomScaleSheetLayoutView="100" workbookViewId="0">
      <selection activeCell="O26" sqref="O26"/>
    </sheetView>
  </sheetViews>
  <sheetFormatPr defaultRowHeight="12.75" x14ac:dyDescent="0.2"/>
  <cols>
    <col min="1" max="1" width="14.5703125" bestFit="1" customWidth="1"/>
    <col min="3" max="3" width="43.140625" customWidth="1"/>
    <col min="4" max="8" width="9.140625" customWidth="1"/>
    <col min="9" max="9" width="10.42578125" bestFit="1" customWidth="1"/>
    <col min="10" max="10" width="14" bestFit="1" customWidth="1"/>
  </cols>
  <sheetData>
    <row r="1" spans="1:10" ht="91.5" customHeight="1" x14ac:dyDescent="0.2">
      <c r="A1" s="631" t="s">
        <v>1412</v>
      </c>
      <c r="B1" s="698"/>
      <c r="C1" s="698"/>
      <c r="D1" s="698"/>
      <c r="E1" s="698"/>
      <c r="F1" s="698"/>
      <c r="G1" s="698"/>
      <c r="H1" s="698"/>
      <c r="I1" s="698"/>
      <c r="J1" s="699"/>
    </row>
    <row r="2" spans="1:10" ht="33" customHeight="1" x14ac:dyDescent="0.2">
      <c r="A2" s="430" t="str">
        <f>RESUMO!A2</f>
        <v>OBRA:</v>
      </c>
      <c r="B2" s="639" t="str">
        <f>RESUMO!B2</f>
        <v>EXECUÇÃO DE REDE DE DISTRIBUIÇÃO DE MÉDIA TENSÃO, POSTO DE TRANSFORMAÇÃO DE 225KVA E 45KVA- HOSPITAL VETERINÁRIO CENTRO DE REABILITAÇÃO DE ANIMAIS SILVESTRES - CRAS</v>
      </c>
      <c r="C2" s="639"/>
      <c r="D2" s="639"/>
      <c r="E2" s="639"/>
      <c r="F2" s="639"/>
      <c r="G2" s="639"/>
      <c r="H2" s="639"/>
      <c r="I2" s="639"/>
      <c r="J2" s="640"/>
    </row>
    <row r="3" spans="1:10" ht="15.75" x14ac:dyDescent="0.2">
      <c r="A3" s="430" t="str">
        <f>RESUMO!A3</f>
        <v>ENDEREÇO:</v>
      </c>
      <c r="B3" s="639" t="str">
        <f>RESUMO!B3</f>
        <v>RUA DE ACESSO AO INPE (ATRÁS DA ASSOFT), BAIRRO CENTRO POLITICO ADMINISTRATIVO, CUIABÁ-MT</v>
      </c>
      <c r="C3" s="639"/>
      <c r="D3" s="639"/>
      <c r="E3" s="639"/>
      <c r="F3" s="639"/>
      <c r="G3" s="639"/>
      <c r="H3" s="639"/>
      <c r="I3" s="639"/>
      <c r="J3" s="640"/>
    </row>
    <row r="4" spans="1:10" ht="15.75" x14ac:dyDescent="0.2">
      <c r="A4" s="430" t="str">
        <f>RESUMO!A4</f>
        <v>MUNICÍPIO:</v>
      </c>
      <c r="B4" s="898" t="str">
        <f>RESUMO!B4</f>
        <v>CUIABÁ - MT</v>
      </c>
      <c r="C4" s="898"/>
      <c r="D4" s="898"/>
      <c r="E4" s="898"/>
      <c r="F4" s="898"/>
      <c r="G4" s="898"/>
      <c r="H4" s="898"/>
      <c r="I4" s="431" t="str">
        <f>RESUMO!C3</f>
        <v>BDI:</v>
      </c>
      <c r="J4" s="432">
        <f>BDI!D30</f>
        <v>0.22226164190779008</v>
      </c>
    </row>
    <row r="5" spans="1:10" ht="37.5" customHeight="1" x14ac:dyDescent="0.2">
      <c r="A5" s="430" t="str">
        <f>RESUMO!A5</f>
        <v>ASSUNTO:</v>
      </c>
      <c r="B5" s="639" t="str">
        <f>RESUMO!B5</f>
        <v xml:space="preserve">PROJETO ELÉTRICO DE REDE DE DISTRIBUIÇÃO DE MÉDIA TENSÃO, POSTO DE TRANSFORMAÇÃO DE 225KVA E 45KVA </v>
      </c>
      <c r="C5" s="639"/>
      <c r="D5" s="639"/>
      <c r="E5" s="639"/>
      <c r="F5" s="639"/>
      <c r="G5" s="639"/>
      <c r="H5" s="639"/>
      <c r="I5" s="433" t="str">
        <f>RESUMO!C4</f>
        <v>DATA:</v>
      </c>
      <c r="J5" s="434">
        <f>RESUMO!D4</f>
        <v>44869</v>
      </c>
    </row>
    <row r="6" spans="1:10" x14ac:dyDescent="0.2">
      <c r="A6" s="902" t="s">
        <v>1679</v>
      </c>
      <c r="B6" s="893"/>
      <c r="C6" s="893"/>
      <c r="D6" s="893"/>
      <c r="E6" s="893"/>
      <c r="F6" s="893"/>
      <c r="G6" s="893"/>
      <c r="H6" s="893"/>
      <c r="I6" s="893"/>
      <c r="J6" s="894"/>
    </row>
    <row r="7" spans="1:10" x14ac:dyDescent="0.2">
      <c r="A7" s="892"/>
      <c r="B7" s="893"/>
      <c r="C7" s="893"/>
      <c r="D7" s="893"/>
      <c r="E7" s="893"/>
      <c r="F7" s="893"/>
      <c r="G7" s="893"/>
      <c r="H7" s="893"/>
      <c r="I7" s="893"/>
      <c r="J7" s="894"/>
    </row>
    <row r="8" spans="1:10" x14ac:dyDescent="0.2">
      <c r="A8" s="892"/>
      <c r="B8" s="893"/>
      <c r="C8" s="893"/>
      <c r="D8" s="893"/>
      <c r="E8" s="893"/>
      <c r="F8" s="893"/>
      <c r="G8" s="893"/>
      <c r="H8" s="893"/>
      <c r="I8" s="893"/>
      <c r="J8" s="894"/>
    </row>
    <row r="9" spans="1:10" x14ac:dyDescent="0.2">
      <c r="A9" s="892"/>
      <c r="B9" s="893"/>
      <c r="C9" s="893"/>
      <c r="D9" s="893"/>
      <c r="E9" s="893"/>
      <c r="F9" s="893"/>
      <c r="G9" s="893"/>
      <c r="H9" s="893"/>
      <c r="I9" s="893"/>
      <c r="J9" s="894"/>
    </row>
    <row r="10" spans="1:10" x14ac:dyDescent="0.2">
      <c r="A10" s="892"/>
      <c r="B10" s="893"/>
      <c r="C10" s="893"/>
      <c r="D10" s="893"/>
      <c r="E10" s="893"/>
      <c r="F10" s="893"/>
      <c r="G10" s="893"/>
      <c r="H10" s="893"/>
      <c r="I10" s="893"/>
      <c r="J10" s="894"/>
    </row>
    <row r="11" spans="1:10" x14ac:dyDescent="0.2">
      <c r="A11" s="892"/>
      <c r="B11" s="893"/>
      <c r="C11" s="893"/>
      <c r="D11" s="893"/>
      <c r="E11" s="893"/>
      <c r="F11" s="893"/>
      <c r="G11" s="893"/>
      <c r="H11" s="893"/>
      <c r="I11" s="893"/>
      <c r="J11" s="894"/>
    </row>
    <row r="12" spans="1:10" x14ac:dyDescent="0.2">
      <c r="A12" s="892"/>
      <c r="B12" s="893"/>
      <c r="C12" s="893"/>
      <c r="D12" s="893"/>
      <c r="E12" s="893"/>
      <c r="F12" s="893"/>
      <c r="G12" s="893"/>
      <c r="H12" s="893"/>
      <c r="I12" s="893"/>
      <c r="J12" s="894"/>
    </row>
    <row r="13" spans="1:10" x14ac:dyDescent="0.2">
      <c r="A13" s="892"/>
      <c r="B13" s="893"/>
      <c r="C13" s="893"/>
      <c r="D13" s="893"/>
      <c r="E13" s="893"/>
      <c r="F13" s="893"/>
      <c r="G13" s="893"/>
      <c r="H13" s="893"/>
      <c r="I13" s="893"/>
      <c r="J13" s="894"/>
    </row>
    <row r="14" spans="1:10" x14ac:dyDescent="0.2">
      <c r="A14" s="892"/>
      <c r="B14" s="893"/>
      <c r="C14" s="893"/>
      <c r="D14" s="893"/>
      <c r="E14" s="893"/>
      <c r="F14" s="893"/>
      <c r="G14" s="893"/>
      <c r="H14" s="893"/>
      <c r="I14" s="893"/>
      <c r="J14" s="894"/>
    </row>
    <row r="15" spans="1:10" x14ac:dyDescent="0.2">
      <c r="A15" s="892"/>
      <c r="B15" s="893"/>
      <c r="C15" s="893"/>
      <c r="D15" s="893"/>
      <c r="E15" s="893"/>
      <c r="F15" s="893"/>
      <c r="G15" s="893"/>
      <c r="H15" s="893"/>
      <c r="I15" s="893"/>
      <c r="J15" s="894"/>
    </row>
    <row r="16" spans="1:10" x14ac:dyDescent="0.2">
      <c r="A16" s="892"/>
      <c r="B16" s="893"/>
      <c r="C16" s="893"/>
      <c r="D16" s="893"/>
      <c r="E16" s="893"/>
      <c r="F16" s="893"/>
      <c r="G16" s="893"/>
      <c r="H16" s="893"/>
      <c r="I16" s="893"/>
      <c r="J16" s="894"/>
    </row>
    <row r="17" spans="1:10" x14ac:dyDescent="0.2">
      <c r="A17" s="892"/>
      <c r="B17" s="893"/>
      <c r="C17" s="893"/>
      <c r="D17" s="893"/>
      <c r="E17" s="893"/>
      <c r="F17" s="893"/>
      <c r="G17" s="893"/>
      <c r="H17" s="893"/>
      <c r="I17" s="893"/>
      <c r="J17" s="894"/>
    </row>
    <row r="18" spans="1:10" x14ac:dyDescent="0.2">
      <c r="A18" s="892"/>
      <c r="B18" s="893"/>
      <c r="C18" s="893"/>
      <c r="D18" s="893"/>
      <c r="E18" s="893"/>
      <c r="F18" s="893"/>
      <c r="G18" s="893"/>
      <c r="H18" s="893"/>
      <c r="I18" s="893"/>
      <c r="J18" s="894"/>
    </row>
    <row r="19" spans="1:10" x14ac:dyDescent="0.2">
      <c r="A19" s="892"/>
      <c r="B19" s="893"/>
      <c r="C19" s="893"/>
      <c r="D19" s="893"/>
      <c r="E19" s="893"/>
      <c r="F19" s="893"/>
      <c r="G19" s="893"/>
      <c r="H19" s="893"/>
      <c r="I19" s="893"/>
      <c r="J19" s="894"/>
    </row>
    <row r="20" spans="1:10" x14ac:dyDescent="0.2">
      <c r="A20" s="892"/>
      <c r="B20" s="893"/>
      <c r="C20" s="893"/>
      <c r="D20" s="893"/>
      <c r="E20" s="893"/>
      <c r="F20" s="893"/>
      <c r="G20" s="893"/>
      <c r="H20" s="893"/>
      <c r="I20" s="893"/>
      <c r="J20" s="894"/>
    </row>
    <row r="21" spans="1:10" x14ac:dyDescent="0.2">
      <c r="A21" s="892"/>
      <c r="B21" s="893"/>
      <c r="C21" s="893"/>
      <c r="D21" s="893"/>
      <c r="E21" s="893"/>
      <c r="F21" s="893"/>
      <c r="G21" s="893"/>
      <c r="H21" s="893"/>
      <c r="I21" s="893"/>
      <c r="J21" s="894"/>
    </row>
    <row r="22" spans="1:10" x14ac:dyDescent="0.2">
      <c r="A22" s="892"/>
      <c r="B22" s="893"/>
      <c r="C22" s="893"/>
      <c r="D22" s="893"/>
      <c r="E22" s="893"/>
      <c r="F22" s="893"/>
      <c r="G22" s="893"/>
      <c r="H22" s="893"/>
      <c r="I22" s="893"/>
      <c r="J22" s="894"/>
    </row>
    <row r="23" spans="1:10" x14ac:dyDescent="0.2">
      <c r="A23" s="892"/>
      <c r="B23" s="893"/>
      <c r="C23" s="893"/>
      <c r="D23" s="893"/>
      <c r="E23" s="893"/>
      <c r="F23" s="893"/>
      <c r="G23" s="893"/>
      <c r="H23" s="893"/>
      <c r="I23" s="893"/>
      <c r="J23" s="894"/>
    </row>
    <row r="24" spans="1:10" x14ac:dyDescent="0.2">
      <c r="A24" s="892"/>
      <c r="B24" s="893"/>
      <c r="C24" s="893"/>
      <c r="D24" s="893"/>
      <c r="E24" s="893"/>
      <c r="F24" s="893"/>
      <c r="G24" s="893"/>
      <c r="H24" s="893"/>
      <c r="I24" s="893"/>
      <c r="J24" s="894"/>
    </row>
    <row r="25" spans="1:10" x14ac:dyDescent="0.2">
      <c r="A25" s="892"/>
      <c r="B25" s="893"/>
      <c r="C25" s="893"/>
      <c r="D25" s="893"/>
      <c r="E25" s="893"/>
      <c r="F25" s="893"/>
      <c r="G25" s="893"/>
      <c r="H25" s="893"/>
      <c r="I25" s="893"/>
      <c r="J25" s="894"/>
    </row>
    <row r="26" spans="1:10" x14ac:dyDescent="0.2">
      <c r="A26" s="892"/>
      <c r="B26" s="893"/>
      <c r="C26" s="893"/>
      <c r="D26" s="893"/>
      <c r="E26" s="893"/>
      <c r="F26" s="893"/>
      <c r="G26" s="893"/>
      <c r="H26" s="893"/>
      <c r="I26" s="893"/>
      <c r="J26" s="894"/>
    </row>
    <row r="27" spans="1:10" x14ac:dyDescent="0.2">
      <c r="A27" s="892"/>
      <c r="B27" s="893"/>
      <c r="C27" s="893"/>
      <c r="D27" s="893"/>
      <c r="E27" s="893"/>
      <c r="F27" s="893"/>
      <c r="G27" s="893"/>
      <c r="H27" s="893"/>
      <c r="I27" s="893"/>
      <c r="J27" s="894"/>
    </row>
    <row r="28" spans="1:10" x14ac:dyDescent="0.2">
      <c r="A28" s="892"/>
      <c r="B28" s="893"/>
      <c r="C28" s="893"/>
      <c r="D28" s="893"/>
      <c r="E28" s="893"/>
      <c r="F28" s="893"/>
      <c r="G28" s="893"/>
      <c r="H28" s="893"/>
      <c r="I28" s="893"/>
      <c r="J28" s="894"/>
    </row>
    <row r="29" spans="1:10" x14ac:dyDescent="0.2">
      <c r="A29" s="892"/>
      <c r="B29" s="893"/>
      <c r="C29" s="893"/>
      <c r="D29" s="893"/>
      <c r="E29" s="893"/>
      <c r="F29" s="893"/>
      <c r="G29" s="893"/>
      <c r="H29" s="893"/>
      <c r="I29" s="893"/>
      <c r="J29" s="894"/>
    </row>
    <row r="30" spans="1:10" x14ac:dyDescent="0.2">
      <c r="A30" s="892"/>
      <c r="B30" s="893"/>
      <c r="C30" s="893"/>
      <c r="D30" s="893"/>
      <c r="E30" s="893"/>
      <c r="F30" s="893"/>
      <c r="G30" s="893"/>
      <c r="H30" s="893"/>
      <c r="I30" s="893"/>
      <c r="J30" s="894"/>
    </row>
    <row r="31" spans="1:10" x14ac:dyDescent="0.2">
      <c r="A31" s="892"/>
      <c r="B31" s="893"/>
      <c r="C31" s="893"/>
      <c r="D31" s="893"/>
      <c r="E31" s="893"/>
      <c r="F31" s="893"/>
      <c r="G31" s="893"/>
      <c r="H31" s="893"/>
      <c r="I31" s="893"/>
      <c r="J31" s="894"/>
    </row>
    <row r="32" spans="1:10" x14ac:dyDescent="0.2">
      <c r="A32" s="892"/>
      <c r="B32" s="893"/>
      <c r="C32" s="893"/>
      <c r="D32" s="893"/>
      <c r="E32" s="893"/>
      <c r="F32" s="893"/>
      <c r="G32" s="893"/>
      <c r="H32" s="893"/>
      <c r="I32" s="893"/>
      <c r="J32" s="894"/>
    </row>
    <row r="33" spans="1:10" x14ac:dyDescent="0.2">
      <c r="A33" s="892"/>
      <c r="B33" s="893"/>
      <c r="C33" s="893"/>
      <c r="D33" s="893"/>
      <c r="E33" s="893"/>
      <c r="F33" s="893"/>
      <c r="G33" s="893"/>
      <c r="H33" s="893"/>
      <c r="I33" s="893"/>
      <c r="J33" s="894"/>
    </row>
    <row r="34" spans="1:10" x14ac:dyDescent="0.2">
      <c r="A34" s="892"/>
      <c r="B34" s="893"/>
      <c r="C34" s="893"/>
      <c r="D34" s="893"/>
      <c r="E34" s="893"/>
      <c r="F34" s="893"/>
      <c r="G34" s="893"/>
      <c r="H34" s="893"/>
      <c r="I34" s="893"/>
      <c r="J34" s="894"/>
    </row>
    <row r="35" spans="1:10" x14ac:dyDescent="0.2">
      <c r="A35" s="892"/>
      <c r="B35" s="893"/>
      <c r="C35" s="893"/>
      <c r="D35" s="893"/>
      <c r="E35" s="893"/>
      <c r="F35" s="893"/>
      <c r="G35" s="893"/>
      <c r="H35" s="893"/>
      <c r="I35" s="893"/>
      <c r="J35" s="894"/>
    </row>
    <row r="36" spans="1:10" x14ac:dyDescent="0.2">
      <c r="A36" s="892"/>
      <c r="B36" s="893"/>
      <c r="C36" s="893"/>
      <c r="D36" s="893"/>
      <c r="E36" s="893"/>
      <c r="F36" s="893"/>
      <c r="G36" s="893"/>
      <c r="H36" s="893"/>
      <c r="I36" s="893"/>
      <c r="J36" s="894"/>
    </row>
    <row r="37" spans="1:10" x14ac:dyDescent="0.2">
      <c r="A37" s="892"/>
      <c r="B37" s="893"/>
      <c r="C37" s="893"/>
      <c r="D37" s="893"/>
      <c r="E37" s="893"/>
      <c r="F37" s="893"/>
      <c r="G37" s="893"/>
      <c r="H37" s="893"/>
      <c r="I37" s="893"/>
      <c r="J37" s="894"/>
    </row>
    <row r="38" spans="1:10" x14ac:dyDescent="0.2">
      <c r="A38" s="892"/>
      <c r="B38" s="893"/>
      <c r="C38" s="893"/>
      <c r="D38" s="893"/>
      <c r="E38" s="893"/>
      <c r="F38" s="893"/>
      <c r="G38" s="893"/>
      <c r="H38" s="893"/>
      <c r="I38" s="893"/>
      <c r="J38" s="894"/>
    </row>
    <row r="39" spans="1:10" x14ac:dyDescent="0.2">
      <c r="A39" s="892"/>
      <c r="B39" s="893"/>
      <c r="C39" s="893"/>
      <c r="D39" s="893"/>
      <c r="E39" s="893"/>
      <c r="F39" s="893"/>
      <c r="G39" s="893"/>
      <c r="H39" s="893"/>
      <c r="I39" s="893"/>
      <c r="J39" s="894"/>
    </row>
    <row r="40" spans="1:10" x14ac:dyDescent="0.2">
      <c r="A40" s="892"/>
      <c r="B40" s="893"/>
      <c r="C40" s="893"/>
      <c r="D40" s="893"/>
      <c r="E40" s="893"/>
      <c r="F40" s="893"/>
      <c r="G40" s="893"/>
      <c r="H40" s="893"/>
      <c r="I40" s="893"/>
      <c r="J40" s="894"/>
    </row>
    <row r="41" spans="1:10" x14ac:dyDescent="0.2">
      <c r="A41" s="892"/>
      <c r="B41" s="893"/>
      <c r="C41" s="893"/>
      <c r="D41" s="893"/>
      <c r="E41" s="893"/>
      <c r="F41" s="893"/>
      <c r="G41" s="893"/>
      <c r="H41" s="893"/>
      <c r="I41" s="893"/>
      <c r="J41" s="894"/>
    </row>
    <row r="42" spans="1:10" x14ac:dyDescent="0.2">
      <c r="A42" s="892"/>
      <c r="B42" s="893"/>
      <c r="C42" s="893"/>
      <c r="D42" s="893"/>
      <c r="E42" s="893"/>
      <c r="F42" s="893"/>
      <c r="G42" s="893"/>
      <c r="H42" s="893"/>
      <c r="I42" s="893"/>
      <c r="J42" s="894"/>
    </row>
    <row r="43" spans="1:10" x14ac:dyDescent="0.2">
      <c r="A43" s="892"/>
      <c r="B43" s="893"/>
      <c r="C43" s="893"/>
      <c r="D43" s="893"/>
      <c r="E43" s="893"/>
      <c r="F43" s="893"/>
      <c r="G43" s="893"/>
      <c r="H43" s="893"/>
      <c r="I43" s="893"/>
      <c r="J43" s="894"/>
    </row>
    <row r="44" spans="1:10" x14ac:dyDescent="0.2">
      <c r="A44" s="892"/>
      <c r="B44" s="893"/>
      <c r="C44" s="893"/>
      <c r="D44" s="893"/>
      <c r="E44" s="893"/>
      <c r="F44" s="893"/>
      <c r="G44" s="893"/>
      <c r="H44" s="893"/>
      <c r="I44" s="893"/>
      <c r="J44" s="894"/>
    </row>
    <row r="45" spans="1:10" x14ac:dyDescent="0.2">
      <c r="A45" s="892"/>
      <c r="B45" s="893"/>
      <c r="C45" s="893"/>
      <c r="D45" s="893"/>
      <c r="E45" s="893"/>
      <c r="F45" s="893"/>
      <c r="G45" s="893"/>
      <c r="H45" s="893"/>
      <c r="I45" s="893"/>
      <c r="J45" s="894"/>
    </row>
    <row r="46" spans="1:10" x14ac:dyDescent="0.2">
      <c r="A46" s="892"/>
      <c r="B46" s="893"/>
      <c r="C46" s="893"/>
      <c r="D46" s="893"/>
      <c r="E46" s="893"/>
      <c r="F46" s="893"/>
      <c r="G46" s="893"/>
      <c r="H46" s="893"/>
      <c r="I46" s="893"/>
      <c r="J46" s="894"/>
    </row>
    <row r="47" spans="1:10" x14ac:dyDescent="0.2">
      <c r="A47" s="892"/>
      <c r="B47" s="893"/>
      <c r="C47" s="893"/>
      <c r="D47" s="893"/>
      <c r="E47" s="893"/>
      <c r="F47" s="893"/>
      <c r="G47" s="893"/>
      <c r="H47" s="893"/>
      <c r="I47" s="893"/>
      <c r="J47" s="894"/>
    </row>
    <row r="48" spans="1:10" x14ac:dyDescent="0.2">
      <c r="A48" s="892"/>
      <c r="B48" s="893"/>
      <c r="C48" s="893"/>
      <c r="D48" s="893"/>
      <c r="E48" s="893"/>
      <c r="F48" s="893"/>
      <c r="G48" s="893"/>
      <c r="H48" s="893"/>
      <c r="I48" s="893"/>
      <c r="J48" s="894"/>
    </row>
    <row r="49" spans="1:10" x14ac:dyDescent="0.2">
      <c r="A49" s="892"/>
      <c r="B49" s="893"/>
      <c r="C49" s="893"/>
      <c r="D49" s="893"/>
      <c r="E49" s="893"/>
      <c r="F49" s="893"/>
      <c r="G49" s="893"/>
      <c r="H49" s="893"/>
      <c r="I49" s="893"/>
      <c r="J49" s="894"/>
    </row>
    <row r="50" spans="1:10" x14ac:dyDescent="0.2">
      <c r="A50" s="892"/>
      <c r="B50" s="893"/>
      <c r="C50" s="893"/>
      <c r="D50" s="893"/>
      <c r="E50" s="893"/>
      <c r="F50" s="893"/>
      <c r="G50" s="893"/>
      <c r="H50" s="893"/>
      <c r="I50" s="893"/>
      <c r="J50" s="894"/>
    </row>
    <row r="51" spans="1:10" x14ac:dyDescent="0.2">
      <c r="A51" s="892"/>
      <c r="B51" s="893"/>
      <c r="C51" s="893"/>
      <c r="D51" s="893"/>
      <c r="E51" s="893"/>
      <c r="F51" s="893"/>
      <c r="G51" s="893"/>
      <c r="H51" s="893"/>
      <c r="I51" s="893"/>
      <c r="J51" s="894"/>
    </row>
    <row r="52" spans="1:10" x14ac:dyDescent="0.2">
      <c r="A52" s="892"/>
      <c r="B52" s="893"/>
      <c r="C52" s="893"/>
      <c r="D52" s="893"/>
      <c r="E52" s="893"/>
      <c r="F52" s="893"/>
      <c r="G52" s="893"/>
      <c r="H52" s="893"/>
      <c r="I52" s="893"/>
      <c r="J52" s="894"/>
    </row>
    <row r="53" spans="1:10" x14ac:dyDescent="0.2">
      <c r="A53" s="892"/>
      <c r="B53" s="893"/>
      <c r="C53" s="893"/>
      <c r="D53" s="893"/>
      <c r="E53" s="893"/>
      <c r="F53" s="893"/>
      <c r="G53" s="893"/>
      <c r="H53" s="893"/>
      <c r="I53" s="893"/>
      <c r="J53" s="894"/>
    </row>
    <row r="54" spans="1:10" x14ac:dyDescent="0.2">
      <c r="A54" s="892"/>
      <c r="B54" s="893"/>
      <c r="C54" s="893"/>
      <c r="D54" s="893"/>
      <c r="E54" s="893"/>
      <c r="F54" s="893"/>
      <c r="G54" s="893"/>
      <c r="H54" s="893"/>
      <c r="I54" s="893"/>
      <c r="J54" s="894"/>
    </row>
    <row r="55" spans="1:10" x14ac:dyDescent="0.2">
      <c r="A55" s="892"/>
      <c r="B55" s="893"/>
      <c r="C55" s="893"/>
      <c r="D55" s="893"/>
      <c r="E55" s="893"/>
      <c r="F55" s="893"/>
      <c r="G55" s="893"/>
      <c r="H55" s="893"/>
      <c r="I55" s="893"/>
      <c r="J55" s="894"/>
    </row>
    <row r="56" spans="1:10" ht="13.5" thickBot="1" x14ac:dyDescent="0.25">
      <c r="A56" s="895"/>
      <c r="B56" s="896"/>
      <c r="C56" s="896"/>
      <c r="D56" s="896"/>
      <c r="E56" s="896"/>
      <c r="F56" s="896"/>
      <c r="G56" s="896"/>
      <c r="H56" s="896"/>
      <c r="I56" s="896"/>
      <c r="J56" s="897"/>
    </row>
  </sheetData>
  <mergeCells count="6">
    <mergeCell ref="A6:J56"/>
    <mergeCell ref="A1:J1"/>
    <mergeCell ref="B2:J2"/>
    <mergeCell ref="B3:J3"/>
    <mergeCell ref="B4:H4"/>
    <mergeCell ref="B5:H5"/>
  </mergeCells>
  <pageMargins left="0.25" right="0.25" top="0.75" bottom="0.75" header="0.3" footer="0.3"/>
  <pageSetup paperSize="9" scale="73" fitToHeight="0"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3"/>
  <sheetViews>
    <sheetView showGridLines="0" view="pageBreakPreview" zoomScale="60" zoomScaleNormal="85" workbookViewId="0">
      <selection activeCell="M10" sqref="M10"/>
    </sheetView>
  </sheetViews>
  <sheetFormatPr defaultRowHeight="12.75" x14ac:dyDescent="0.2"/>
  <cols>
    <col min="1" max="1" width="14.5703125" bestFit="1" customWidth="1"/>
    <col min="3" max="3" width="51.5703125" customWidth="1"/>
    <col min="9" max="9" width="8" bestFit="1" customWidth="1"/>
    <col min="10" max="10" width="14.42578125" bestFit="1" customWidth="1"/>
  </cols>
  <sheetData>
    <row r="1" spans="1:10" ht="114" customHeight="1" x14ac:dyDescent="0.2">
      <c r="A1" s="631" t="s">
        <v>1412</v>
      </c>
      <c r="B1" s="698"/>
      <c r="C1" s="698"/>
      <c r="D1" s="698"/>
      <c r="E1" s="698"/>
      <c r="F1" s="698"/>
      <c r="G1" s="698"/>
      <c r="H1" s="698"/>
      <c r="I1" s="698"/>
      <c r="J1" s="699"/>
    </row>
    <row r="2" spans="1:10" ht="33.75" customHeight="1" x14ac:dyDescent="0.2">
      <c r="A2" s="430" t="str">
        <f>RESUMO!A2</f>
        <v>OBRA:</v>
      </c>
      <c r="B2" s="639" t="str">
        <f>RESUMO!B2</f>
        <v>EXECUÇÃO DE REDE DE DISTRIBUIÇÃO DE MÉDIA TENSÃO, POSTO DE TRANSFORMAÇÃO DE 225KVA E 45KVA- HOSPITAL VETERINÁRIO CENTRO DE REABILITAÇÃO DE ANIMAIS SILVESTRES - CRAS</v>
      </c>
      <c r="C2" s="639"/>
      <c r="D2" s="639"/>
      <c r="E2" s="639"/>
      <c r="F2" s="639"/>
      <c r="G2" s="639"/>
      <c r="H2" s="639"/>
      <c r="I2" s="639"/>
      <c r="J2" s="640"/>
    </row>
    <row r="3" spans="1:10" ht="15.75" x14ac:dyDescent="0.2">
      <c r="A3" s="430" t="str">
        <f>RESUMO!A3</f>
        <v>ENDEREÇO:</v>
      </c>
      <c r="B3" s="639" t="str">
        <f>RESUMO!B3</f>
        <v>RUA DE ACESSO AO INPE (ATRÁS DA ASSOFT), BAIRRO CENTRO POLITICO ADMINISTRATIVO, CUIABÁ-MT</v>
      </c>
      <c r="C3" s="639"/>
      <c r="D3" s="639"/>
      <c r="E3" s="639"/>
      <c r="F3" s="639"/>
      <c r="G3" s="639"/>
      <c r="H3" s="639"/>
      <c r="I3" s="639"/>
      <c r="J3" s="640"/>
    </row>
    <row r="4" spans="1:10" ht="15.75" x14ac:dyDescent="0.2">
      <c r="A4" s="430" t="str">
        <f>RESUMO!A4</f>
        <v>MUNICÍPIO:</v>
      </c>
      <c r="B4" s="898" t="str">
        <f>RESUMO!B4</f>
        <v>CUIABÁ - MT</v>
      </c>
      <c r="C4" s="898"/>
      <c r="D4" s="898"/>
      <c r="E4" s="898"/>
      <c r="F4" s="898"/>
      <c r="G4" s="898"/>
      <c r="H4" s="898"/>
      <c r="I4" s="431" t="str">
        <f>RESUMO!C3</f>
        <v>BDI:</v>
      </c>
      <c r="J4" s="432">
        <f>BDI!D30</f>
        <v>0.22226164190779008</v>
      </c>
    </row>
    <row r="5" spans="1:10" ht="36" customHeight="1" x14ac:dyDescent="0.2">
      <c r="A5" s="430" t="str">
        <f>RESUMO!A5</f>
        <v>ASSUNTO:</v>
      </c>
      <c r="B5" s="639" t="str">
        <f>RESUMO!B5</f>
        <v xml:space="preserve">PROJETO ELÉTRICO DE REDE DE DISTRIBUIÇÃO DE MÉDIA TENSÃO, POSTO DE TRANSFORMAÇÃO DE 225KVA E 45KVA </v>
      </c>
      <c r="C5" s="639"/>
      <c r="D5" s="639"/>
      <c r="E5" s="639"/>
      <c r="F5" s="639"/>
      <c r="G5" s="639"/>
      <c r="H5" s="639"/>
      <c r="I5" s="433" t="str">
        <f>RESUMO!C4</f>
        <v>DATA:</v>
      </c>
      <c r="J5" s="434">
        <f>RESUMO!D4</f>
        <v>44869</v>
      </c>
    </row>
    <row r="6" spans="1:10" ht="16.5" thickBot="1" x14ac:dyDescent="0.25">
      <c r="A6" s="903" t="s">
        <v>1422</v>
      </c>
      <c r="B6" s="904"/>
      <c r="C6" s="904"/>
      <c r="D6" s="904"/>
      <c r="E6" s="904"/>
      <c r="F6" s="904"/>
      <c r="G6" s="904"/>
      <c r="H6" s="904"/>
      <c r="I6" s="904"/>
      <c r="J6" s="905"/>
    </row>
    <row r="7" spans="1:10" x14ac:dyDescent="0.2">
      <c r="A7" s="906" t="s">
        <v>1422</v>
      </c>
      <c r="B7" s="907"/>
      <c r="C7" s="907"/>
      <c r="D7" s="907"/>
      <c r="E7" s="907"/>
      <c r="F7" s="907"/>
      <c r="G7" s="907"/>
      <c r="H7" s="907"/>
      <c r="I7" s="907"/>
      <c r="J7" s="908"/>
    </row>
    <row r="8" spans="1:10" x14ac:dyDescent="0.2">
      <c r="A8" s="906"/>
      <c r="B8" s="907"/>
      <c r="C8" s="907"/>
      <c r="D8" s="907"/>
      <c r="E8" s="907"/>
      <c r="F8" s="907"/>
      <c r="G8" s="907"/>
      <c r="H8" s="907"/>
      <c r="I8" s="907"/>
      <c r="J8" s="908"/>
    </row>
    <row r="9" spans="1:10" x14ac:dyDescent="0.2">
      <c r="A9" s="906"/>
      <c r="B9" s="907"/>
      <c r="C9" s="907"/>
      <c r="D9" s="907"/>
      <c r="E9" s="907"/>
      <c r="F9" s="907"/>
      <c r="G9" s="907"/>
      <c r="H9" s="907"/>
      <c r="I9" s="907"/>
      <c r="J9" s="908"/>
    </row>
    <row r="10" spans="1:10" x14ac:dyDescent="0.2">
      <c r="A10" s="906"/>
      <c r="B10" s="907"/>
      <c r="C10" s="907"/>
      <c r="D10" s="907"/>
      <c r="E10" s="907"/>
      <c r="F10" s="907"/>
      <c r="G10" s="907"/>
      <c r="H10" s="907"/>
      <c r="I10" s="907"/>
      <c r="J10" s="908"/>
    </row>
    <row r="11" spans="1:10" x14ac:dyDescent="0.2">
      <c r="A11" s="906"/>
      <c r="B11" s="907"/>
      <c r="C11" s="907"/>
      <c r="D11" s="907"/>
      <c r="E11" s="907"/>
      <c r="F11" s="907"/>
      <c r="G11" s="907"/>
      <c r="H11" s="907"/>
      <c r="I11" s="907"/>
      <c r="J11" s="908"/>
    </row>
    <row r="12" spans="1:10" x14ac:dyDescent="0.2">
      <c r="A12" s="906"/>
      <c r="B12" s="907"/>
      <c r="C12" s="907"/>
      <c r="D12" s="907"/>
      <c r="E12" s="907"/>
      <c r="F12" s="907"/>
      <c r="G12" s="907"/>
      <c r="H12" s="907"/>
      <c r="I12" s="907"/>
      <c r="J12" s="908"/>
    </row>
    <row r="13" spans="1:10" x14ac:dyDescent="0.2">
      <c r="A13" s="906"/>
      <c r="B13" s="907"/>
      <c r="C13" s="907"/>
      <c r="D13" s="907"/>
      <c r="E13" s="907"/>
      <c r="F13" s="907"/>
      <c r="G13" s="907"/>
      <c r="H13" s="907"/>
      <c r="I13" s="907"/>
      <c r="J13" s="908"/>
    </row>
    <row r="14" spans="1:10" x14ac:dyDescent="0.2">
      <c r="A14" s="906"/>
      <c r="B14" s="907"/>
      <c r="C14" s="907"/>
      <c r="D14" s="907"/>
      <c r="E14" s="907"/>
      <c r="F14" s="907"/>
      <c r="G14" s="907"/>
      <c r="H14" s="907"/>
      <c r="I14" s="907"/>
      <c r="J14" s="908"/>
    </row>
    <row r="15" spans="1:10" x14ac:dyDescent="0.2">
      <c r="A15" s="906"/>
      <c r="B15" s="907"/>
      <c r="C15" s="907"/>
      <c r="D15" s="907"/>
      <c r="E15" s="907"/>
      <c r="F15" s="907"/>
      <c r="G15" s="907"/>
      <c r="H15" s="907"/>
      <c r="I15" s="907"/>
      <c r="J15" s="908"/>
    </row>
    <row r="16" spans="1:10" x14ac:dyDescent="0.2">
      <c r="A16" s="906"/>
      <c r="B16" s="907"/>
      <c r="C16" s="907"/>
      <c r="D16" s="907"/>
      <c r="E16" s="907"/>
      <c r="F16" s="907"/>
      <c r="G16" s="907"/>
      <c r="H16" s="907"/>
      <c r="I16" s="907"/>
      <c r="J16" s="908"/>
    </row>
    <row r="17" spans="1:10" x14ac:dyDescent="0.2">
      <c r="A17" s="906"/>
      <c r="B17" s="907"/>
      <c r="C17" s="907"/>
      <c r="D17" s="907"/>
      <c r="E17" s="907"/>
      <c r="F17" s="907"/>
      <c r="G17" s="907"/>
      <c r="H17" s="907"/>
      <c r="I17" s="907"/>
      <c r="J17" s="908"/>
    </row>
    <row r="18" spans="1:10" x14ac:dyDescent="0.2">
      <c r="A18" s="906"/>
      <c r="B18" s="907"/>
      <c r="C18" s="907"/>
      <c r="D18" s="907"/>
      <c r="E18" s="907"/>
      <c r="F18" s="907"/>
      <c r="G18" s="907"/>
      <c r="H18" s="907"/>
      <c r="I18" s="907"/>
      <c r="J18" s="908"/>
    </row>
    <row r="19" spans="1:10" x14ac:dyDescent="0.2">
      <c r="A19" s="906"/>
      <c r="B19" s="907"/>
      <c r="C19" s="907"/>
      <c r="D19" s="907"/>
      <c r="E19" s="907"/>
      <c r="F19" s="907"/>
      <c r="G19" s="907"/>
      <c r="H19" s="907"/>
      <c r="I19" s="907"/>
      <c r="J19" s="908"/>
    </row>
    <row r="20" spans="1:10" x14ac:dyDescent="0.2">
      <c r="A20" s="906"/>
      <c r="B20" s="907"/>
      <c r="C20" s="907"/>
      <c r="D20" s="907"/>
      <c r="E20" s="907"/>
      <c r="F20" s="907"/>
      <c r="G20" s="907"/>
      <c r="H20" s="907"/>
      <c r="I20" s="907"/>
      <c r="J20" s="908"/>
    </row>
    <row r="21" spans="1:10" x14ac:dyDescent="0.2">
      <c r="A21" s="906"/>
      <c r="B21" s="907"/>
      <c r="C21" s="907"/>
      <c r="D21" s="907"/>
      <c r="E21" s="907"/>
      <c r="F21" s="907"/>
      <c r="G21" s="907"/>
      <c r="H21" s="907"/>
      <c r="I21" s="907"/>
      <c r="J21" s="908"/>
    </row>
    <row r="22" spans="1:10" x14ac:dyDescent="0.2">
      <c r="A22" s="906"/>
      <c r="B22" s="907"/>
      <c r="C22" s="907"/>
      <c r="D22" s="907"/>
      <c r="E22" s="907"/>
      <c r="F22" s="907"/>
      <c r="G22" s="907"/>
      <c r="H22" s="907"/>
      <c r="I22" s="907"/>
      <c r="J22" s="908"/>
    </row>
    <row r="23" spans="1:10" x14ac:dyDescent="0.2">
      <c r="A23" s="906"/>
      <c r="B23" s="907"/>
      <c r="C23" s="907"/>
      <c r="D23" s="907"/>
      <c r="E23" s="907"/>
      <c r="F23" s="907"/>
      <c r="G23" s="907"/>
      <c r="H23" s="907"/>
      <c r="I23" s="907"/>
      <c r="J23" s="908"/>
    </row>
    <row r="24" spans="1:10" x14ac:dyDescent="0.2">
      <c r="A24" s="906"/>
      <c r="B24" s="907"/>
      <c r="C24" s="907"/>
      <c r="D24" s="907"/>
      <c r="E24" s="907"/>
      <c r="F24" s="907"/>
      <c r="G24" s="907"/>
      <c r="H24" s="907"/>
      <c r="I24" s="907"/>
      <c r="J24" s="908"/>
    </row>
    <row r="25" spans="1:10" x14ac:dyDescent="0.2">
      <c r="A25" s="906"/>
      <c r="B25" s="907"/>
      <c r="C25" s="907"/>
      <c r="D25" s="907"/>
      <c r="E25" s="907"/>
      <c r="F25" s="907"/>
      <c r="G25" s="907"/>
      <c r="H25" s="907"/>
      <c r="I25" s="907"/>
      <c r="J25" s="908"/>
    </row>
    <row r="26" spans="1:10" x14ac:dyDescent="0.2">
      <c r="A26" s="906"/>
      <c r="B26" s="907"/>
      <c r="C26" s="907"/>
      <c r="D26" s="907"/>
      <c r="E26" s="907"/>
      <c r="F26" s="907"/>
      <c r="G26" s="907"/>
      <c r="H26" s="907"/>
      <c r="I26" s="907"/>
      <c r="J26" s="908"/>
    </row>
    <row r="27" spans="1:10" x14ac:dyDescent="0.2">
      <c r="A27" s="906"/>
      <c r="B27" s="907"/>
      <c r="C27" s="907"/>
      <c r="D27" s="907"/>
      <c r="E27" s="907"/>
      <c r="F27" s="907"/>
      <c r="G27" s="907"/>
      <c r="H27" s="907"/>
      <c r="I27" s="907"/>
      <c r="J27" s="908"/>
    </row>
    <row r="28" spans="1:10" x14ac:dyDescent="0.2">
      <c r="A28" s="906"/>
      <c r="B28" s="907"/>
      <c r="C28" s="907"/>
      <c r="D28" s="907"/>
      <c r="E28" s="907"/>
      <c r="F28" s="907"/>
      <c r="G28" s="907"/>
      <c r="H28" s="907"/>
      <c r="I28" s="907"/>
      <c r="J28" s="908"/>
    </row>
    <row r="29" spans="1:10" x14ac:dyDescent="0.2">
      <c r="A29" s="906"/>
      <c r="B29" s="907"/>
      <c r="C29" s="907"/>
      <c r="D29" s="907"/>
      <c r="E29" s="907"/>
      <c r="F29" s="907"/>
      <c r="G29" s="907"/>
      <c r="H29" s="907"/>
      <c r="I29" s="907"/>
      <c r="J29" s="908"/>
    </row>
    <row r="30" spans="1:10" x14ac:dyDescent="0.2">
      <c r="A30" s="906"/>
      <c r="B30" s="907"/>
      <c r="C30" s="907"/>
      <c r="D30" s="907"/>
      <c r="E30" s="907"/>
      <c r="F30" s="907"/>
      <c r="G30" s="907"/>
      <c r="H30" s="907"/>
      <c r="I30" s="907"/>
      <c r="J30" s="908"/>
    </row>
    <row r="31" spans="1:10" x14ac:dyDescent="0.2">
      <c r="A31" s="906"/>
      <c r="B31" s="907"/>
      <c r="C31" s="907"/>
      <c r="D31" s="907"/>
      <c r="E31" s="907"/>
      <c r="F31" s="907"/>
      <c r="G31" s="907"/>
      <c r="H31" s="907"/>
      <c r="I31" s="907"/>
      <c r="J31" s="908"/>
    </row>
    <row r="32" spans="1:10" x14ac:dyDescent="0.2">
      <c r="A32" s="906"/>
      <c r="B32" s="907"/>
      <c r="C32" s="907"/>
      <c r="D32" s="907"/>
      <c r="E32" s="907"/>
      <c r="F32" s="907"/>
      <c r="G32" s="907"/>
      <c r="H32" s="907"/>
      <c r="I32" s="907"/>
      <c r="J32" s="908"/>
    </row>
    <row r="33" spans="1:10" x14ac:dyDescent="0.2">
      <c r="A33" s="906"/>
      <c r="B33" s="907"/>
      <c r="C33" s="907"/>
      <c r="D33" s="907"/>
      <c r="E33" s="907"/>
      <c r="F33" s="907"/>
      <c r="G33" s="907"/>
      <c r="H33" s="907"/>
      <c r="I33" s="907"/>
      <c r="J33" s="908"/>
    </row>
    <row r="34" spans="1:10" x14ac:dyDescent="0.2">
      <c r="A34" s="906"/>
      <c r="B34" s="907"/>
      <c r="C34" s="907"/>
      <c r="D34" s="907"/>
      <c r="E34" s="907"/>
      <c r="F34" s="907"/>
      <c r="G34" s="907"/>
      <c r="H34" s="907"/>
      <c r="I34" s="907"/>
      <c r="J34" s="908"/>
    </row>
    <row r="35" spans="1:10" x14ac:dyDescent="0.2">
      <c r="A35" s="906"/>
      <c r="B35" s="907"/>
      <c r="C35" s="907"/>
      <c r="D35" s="907"/>
      <c r="E35" s="907"/>
      <c r="F35" s="907"/>
      <c r="G35" s="907"/>
      <c r="H35" s="907"/>
      <c r="I35" s="907"/>
      <c r="J35" s="908"/>
    </row>
    <row r="36" spans="1:10" x14ac:dyDescent="0.2">
      <c r="A36" s="906"/>
      <c r="B36" s="907"/>
      <c r="C36" s="907"/>
      <c r="D36" s="907"/>
      <c r="E36" s="907"/>
      <c r="F36" s="907"/>
      <c r="G36" s="907"/>
      <c r="H36" s="907"/>
      <c r="I36" s="907"/>
      <c r="J36" s="908"/>
    </row>
    <row r="37" spans="1:10" x14ac:dyDescent="0.2">
      <c r="A37" s="906"/>
      <c r="B37" s="907"/>
      <c r="C37" s="907"/>
      <c r="D37" s="907"/>
      <c r="E37" s="907"/>
      <c r="F37" s="907"/>
      <c r="G37" s="907"/>
      <c r="H37" s="907"/>
      <c r="I37" s="907"/>
      <c r="J37" s="908"/>
    </row>
    <row r="38" spans="1:10" x14ac:dyDescent="0.2">
      <c r="A38" s="906"/>
      <c r="B38" s="907"/>
      <c r="C38" s="907"/>
      <c r="D38" s="907"/>
      <c r="E38" s="907"/>
      <c r="F38" s="907"/>
      <c r="G38" s="907"/>
      <c r="H38" s="907"/>
      <c r="I38" s="907"/>
      <c r="J38" s="908"/>
    </row>
    <row r="39" spans="1:10" x14ac:dyDescent="0.2">
      <c r="A39" s="906"/>
      <c r="B39" s="907"/>
      <c r="C39" s="907"/>
      <c r="D39" s="907"/>
      <c r="E39" s="907"/>
      <c r="F39" s="907"/>
      <c r="G39" s="907"/>
      <c r="H39" s="907"/>
      <c r="I39" s="907"/>
      <c r="J39" s="908"/>
    </row>
    <row r="40" spans="1:10" x14ac:dyDescent="0.2">
      <c r="A40" s="906"/>
      <c r="B40" s="907"/>
      <c r="C40" s="907"/>
      <c r="D40" s="907"/>
      <c r="E40" s="907"/>
      <c r="F40" s="907"/>
      <c r="G40" s="907"/>
      <c r="H40" s="907"/>
      <c r="I40" s="907"/>
      <c r="J40" s="908"/>
    </row>
    <row r="41" spans="1:10" x14ac:dyDescent="0.2">
      <c r="A41" s="906"/>
      <c r="B41" s="907"/>
      <c r="C41" s="907"/>
      <c r="D41" s="907"/>
      <c r="E41" s="907"/>
      <c r="F41" s="907"/>
      <c r="G41" s="907"/>
      <c r="H41" s="907"/>
      <c r="I41" s="907"/>
      <c r="J41" s="908"/>
    </row>
    <row r="42" spans="1:10" x14ac:dyDescent="0.2">
      <c r="A42" s="906"/>
      <c r="B42" s="907"/>
      <c r="C42" s="907"/>
      <c r="D42" s="907"/>
      <c r="E42" s="907"/>
      <c r="F42" s="907"/>
      <c r="G42" s="907"/>
      <c r="H42" s="907"/>
      <c r="I42" s="907"/>
      <c r="J42" s="908"/>
    </row>
    <row r="43" spans="1:10" x14ac:dyDescent="0.2">
      <c r="A43" s="906"/>
      <c r="B43" s="907"/>
      <c r="C43" s="907"/>
      <c r="D43" s="907"/>
      <c r="E43" s="907"/>
      <c r="F43" s="907"/>
      <c r="G43" s="907"/>
      <c r="H43" s="907"/>
      <c r="I43" s="907"/>
      <c r="J43" s="908"/>
    </row>
    <row r="44" spans="1:10" x14ac:dyDescent="0.2">
      <c r="A44" s="906"/>
      <c r="B44" s="907"/>
      <c r="C44" s="907"/>
      <c r="D44" s="907"/>
      <c r="E44" s="907"/>
      <c r="F44" s="907"/>
      <c r="G44" s="907"/>
      <c r="H44" s="907"/>
      <c r="I44" s="907"/>
      <c r="J44" s="908"/>
    </row>
    <row r="45" spans="1:10" x14ac:dyDescent="0.2">
      <c r="A45" s="906"/>
      <c r="B45" s="907"/>
      <c r="C45" s="907"/>
      <c r="D45" s="907"/>
      <c r="E45" s="907"/>
      <c r="F45" s="907"/>
      <c r="G45" s="907"/>
      <c r="H45" s="907"/>
      <c r="I45" s="907"/>
      <c r="J45" s="908"/>
    </row>
    <row r="46" spans="1:10" x14ac:dyDescent="0.2">
      <c r="A46" s="906"/>
      <c r="B46" s="907"/>
      <c r="C46" s="907"/>
      <c r="D46" s="907"/>
      <c r="E46" s="907"/>
      <c r="F46" s="907"/>
      <c r="G46" s="907"/>
      <c r="H46" s="907"/>
      <c r="I46" s="907"/>
      <c r="J46" s="908"/>
    </row>
    <row r="47" spans="1:10" x14ac:dyDescent="0.2">
      <c r="A47" s="906"/>
      <c r="B47" s="907"/>
      <c r="C47" s="907"/>
      <c r="D47" s="907"/>
      <c r="E47" s="907"/>
      <c r="F47" s="907"/>
      <c r="G47" s="907"/>
      <c r="H47" s="907"/>
      <c r="I47" s="907"/>
      <c r="J47" s="908"/>
    </row>
    <row r="48" spans="1:10" x14ac:dyDescent="0.2">
      <c r="A48" s="906"/>
      <c r="B48" s="907"/>
      <c r="C48" s="907"/>
      <c r="D48" s="907"/>
      <c r="E48" s="907"/>
      <c r="F48" s="907"/>
      <c r="G48" s="907"/>
      <c r="H48" s="907"/>
      <c r="I48" s="907"/>
      <c r="J48" s="908"/>
    </row>
    <row r="49" spans="1:10" x14ac:dyDescent="0.2">
      <c r="A49" s="906"/>
      <c r="B49" s="907"/>
      <c r="C49" s="907"/>
      <c r="D49" s="907"/>
      <c r="E49" s="907"/>
      <c r="F49" s="907"/>
      <c r="G49" s="907"/>
      <c r="H49" s="907"/>
      <c r="I49" s="907"/>
      <c r="J49" s="908"/>
    </row>
    <row r="50" spans="1:10" x14ac:dyDescent="0.2">
      <c r="A50" s="906"/>
      <c r="B50" s="907"/>
      <c r="C50" s="907"/>
      <c r="D50" s="907"/>
      <c r="E50" s="907"/>
      <c r="F50" s="907"/>
      <c r="G50" s="907"/>
      <c r="H50" s="907"/>
      <c r="I50" s="907"/>
      <c r="J50" s="908"/>
    </row>
    <row r="51" spans="1:10" x14ac:dyDescent="0.2">
      <c r="A51" s="906"/>
      <c r="B51" s="907"/>
      <c r="C51" s="907"/>
      <c r="D51" s="907"/>
      <c r="E51" s="907"/>
      <c r="F51" s="907"/>
      <c r="G51" s="907"/>
      <c r="H51" s="907"/>
      <c r="I51" s="907"/>
      <c r="J51" s="908"/>
    </row>
    <row r="52" spans="1:10" x14ac:dyDescent="0.2">
      <c r="A52" s="906"/>
      <c r="B52" s="907"/>
      <c r="C52" s="907"/>
      <c r="D52" s="907"/>
      <c r="E52" s="907"/>
      <c r="F52" s="907"/>
      <c r="G52" s="907"/>
      <c r="H52" s="907"/>
      <c r="I52" s="907"/>
      <c r="J52" s="908"/>
    </row>
    <row r="53" spans="1:10" x14ac:dyDescent="0.2">
      <c r="A53" s="906"/>
      <c r="B53" s="907"/>
      <c r="C53" s="907"/>
      <c r="D53" s="907"/>
      <c r="E53" s="907"/>
      <c r="F53" s="907"/>
      <c r="G53" s="907"/>
      <c r="H53" s="907"/>
      <c r="I53" s="907"/>
      <c r="J53" s="908"/>
    </row>
    <row r="54" spans="1:10" x14ac:dyDescent="0.2">
      <c r="A54" s="906"/>
      <c r="B54" s="907"/>
      <c r="C54" s="907"/>
      <c r="D54" s="907"/>
      <c r="E54" s="907"/>
      <c r="F54" s="907"/>
      <c r="G54" s="907"/>
      <c r="H54" s="907"/>
      <c r="I54" s="907"/>
      <c r="J54" s="908"/>
    </row>
    <row r="55" spans="1:10" x14ac:dyDescent="0.2">
      <c r="A55" s="906"/>
      <c r="B55" s="907"/>
      <c r="C55" s="907"/>
      <c r="D55" s="907"/>
      <c r="E55" s="907"/>
      <c r="F55" s="907"/>
      <c r="G55" s="907"/>
      <c r="H55" s="907"/>
      <c r="I55" s="907"/>
      <c r="J55" s="908"/>
    </row>
    <row r="56" spans="1:10" x14ac:dyDescent="0.2">
      <c r="A56" s="906"/>
      <c r="B56" s="907"/>
      <c r="C56" s="907"/>
      <c r="D56" s="907"/>
      <c r="E56" s="907"/>
      <c r="F56" s="907"/>
      <c r="G56" s="907"/>
      <c r="H56" s="907"/>
      <c r="I56" s="907"/>
      <c r="J56" s="908"/>
    </row>
    <row r="57" spans="1:10" x14ac:dyDescent="0.2">
      <c r="A57" s="906"/>
      <c r="B57" s="907"/>
      <c r="C57" s="907"/>
      <c r="D57" s="907"/>
      <c r="E57" s="907"/>
      <c r="F57" s="907"/>
      <c r="G57" s="907"/>
      <c r="H57" s="907"/>
      <c r="I57" s="907"/>
      <c r="J57" s="908"/>
    </row>
    <row r="58" spans="1:10" x14ac:dyDescent="0.2">
      <c r="A58" s="906"/>
      <c r="B58" s="907"/>
      <c r="C58" s="907"/>
      <c r="D58" s="907"/>
      <c r="E58" s="907"/>
      <c r="F58" s="907"/>
      <c r="G58" s="907"/>
      <c r="H58" s="907"/>
      <c r="I58" s="907"/>
      <c r="J58" s="908"/>
    </row>
    <row r="59" spans="1:10" x14ac:dyDescent="0.2">
      <c r="A59" s="906"/>
      <c r="B59" s="907"/>
      <c r="C59" s="907"/>
      <c r="D59" s="907"/>
      <c r="E59" s="907"/>
      <c r="F59" s="907"/>
      <c r="G59" s="907"/>
      <c r="H59" s="907"/>
      <c r="I59" s="907"/>
      <c r="J59" s="908"/>
    </row>
    <row r="60" spans="1:10" x14ac:dyDescent="0.2">
      <c r="A60" s="906"/>
      <c r="B60" s="907"/>
      <c r="C60" s="907"/>
      <c r="D60" s="907"/>
      <c r="E60" s="907"/>
      <c r="F60" s="907"/>
      <c r="G60" s="907"/>
      <c r="H60" s="907"/>
      <c r="I60" s="907"/>
      <c r="J60" s="908"/>
    </row>
    <row r="61" spans="1:10" x14ac:dyDescent="0.2">
      <c r="A61" s="906"/>
      <c r="B61" s="907"/>
      <c r="C61" s="907"/>
      <c r="D61" s="907"/>
      <c r="E61" s="907"/>
      <c r="F61" s="907"/>
      <c r="G61" s="907"/>
      <c r="H61" s="907"/>
      <c r="I61" s="907"/>
      <c r="J61" s="908"/>
    </row>
    <row r="62" spans="1:10" x14ac:dyDescent="0.2">
      <c r="A62" s="906"/>
      <c r="B62" s="907"/>
      <c r="C62" s="907"/>
      <c r="D62" s="907"/>
      <c r="E62" s="907"/>
      <c r="F62" s="907"/>
      <c r="G62" s="907"/>
      <c r="H62" s="907"/>
      <c r="I62" s="907"/>
      <c r="J62" s="908"/>
    </row>
    <row r="63" spans="1:10" x14ac:dyDescent="0.2">
      <c r="A63" s="906"/>
      <c r="B63" s="907"/>
      <c r="C63" s="907"/>
      <c r="D63" s="907"/>
      <c r="E63" s="907"/>
      <c r="F63" s="907"/>
      <c r="G63" s="907"/>
      <c r="H63" s="907"/>
      <c r="I63" s="907"/>
      <c r="J63" s="908"/>
    </row>
    <row r="64" spans="1:10" x14ac:dyDescent="0.2">
      <c r="A64" s="906"/>
      <c r="B64" s="907"/>
      <c r="C64" s="907"/>
      <c r="D64" s="907"/>
      <c r="E64" s="907"/>
      <c r="F64" s="907"/>
      <c r="G64" s="907"/>
      <c r="H64" s="907"/>
      <c r="I64" s="907"/>
      <c r="J64" s="908"/>
    </row>
    <row r="65" spans="1:10" x14ac:dyDescent="0.2">
      <c r="A65" s="906"/>
      <c r="B65" s="907"/>
      <c r="C65" s="907"/>
      <c r="D65" s="907"/>
      <c r="E65" s="907"/>
      <c r="F65" s="907"/>
      <c r="G65" s="907"/>
      <c r="H65" s="907"/>
      <c r="I65" s="907"/>
      <c r="J65" s="908"/>
    </row>
    <row r="66" spans="1:10" x14ac:dyDescent="0.2">
      <c r="A66" s="906"/>
      <c r="B66" s="907"/>
      <c r="C66" s="907"/>
      <c r="D66" s="907"/>
      <c r="E66" s="907"/>
      <c r="F66" s="907"/>
      <c r="G66" s="907"/>
      <c r="H66" s="907"/>
      <c r="I66" s="907"/>
      <c r="J66" s="908"/>
    </row>
    <row r="67" spans="1:10" x14ac:dyDescent="0.2">
      <c r="A67" s="906"/>
      <c r="B67" s="907"/>
      <c r="C67" s="907"/>
      <c r="D67" s="907"/>
      <c r="E67" s="907"/>
      <c r="F67" s="907"/>
      <c r="G67" s="907"/>
      <c r="H67" s="907"/>
      <c r="I67" s="907"/>
      <c r="J67" s="908"/>
    </row>
    <row r="68" spans="1:10" x14ac:dyDescent="0.2">
      <c r="A68" s="906"/>
      <c r="B68" s="907"/>
      <c r="C68" s="907"/>
      <c r="D68" s="907"/>
      <c r="E68" s="907"/>
      <c r="F68" s="907"/>
      <c r="G68" s="907"/>
      <c r="H68" s="907"/>
      <c r="I68" s="907"/>
      <c r="J68" s="908"/>
    </row>
    <row r="69" spans="1:10" x14ac:dyDescent="0.2">
      <c r="A69" s="906"/>
      <c r="B69" s="907"/>
      <c r="C69" s="907"/>
      <c r="D69" s="907"/>
      <c r="E69" s="907"/>
      <c r="F69" s="907"/>
      <c r="G69" s="907"/>
      <c r="H69" s="907"/>
      <c r="I69" s="907"/>
      <c r="J69" s="908"/>
    </row>
    <row r="70" spans="1:10" x14ac:dyDescent="0.2">
      <c r="A70" s="906"/>
      <c r="B70" s="907"/>
      <c r="C70" s="907"/>
      <c r="D70" s="907"/>
      <c r="E70" s="907"/>
      <c r="F70" s="907"/>
      <c r="G70" s="907"/>
      <c r="H70" s="907"/>
      <c r="I70" s="907"/>
      <c r="J70" s="908"/>
    </row>
    <row r="71" spans="1:10" x14ac:dyDescent="0.2">
      <c r="A71" s="906"/>
      <c r="B71" s="907"/>
      <c r="C71" s="907"/>
      <c r="D71" s="907"/>
      <c r="E71" s="907"/>
      <c r="F71" s="907"/>
      <c r="G71" s="907"/>
      <c r="H71" s="907"/>
      <c r="I71" s="907"/>
      <c r="J71" s="908"/>
    </row>
    <row r="72" spans="1:10" x14ac:dyDescent="0.2">
      <c r="A72" s="906"/>
      <c r="B72" s="907"/>
      <c r="C72" s="907"/>
      <c r="D72" s="907"/>
      <c r="E72" s="907"/>
      <c r="F72" s="907"/>
      <c r="G72" s="907"/>
      <c r="H72" s="907"/>
      <c r="I72" s="907"/>
      <c r="J72" s="908"/>
    </row>
    <row r="73" spans="1:10" x14ac:dyDescent="0.2">
      <c r="A73" s="906"/>
      <c r="B73" s="907"/>
      <c r="C73" s="907"/>
      <c r="D73" s="907"/>
      <c r="E73" s="907"/>
      <c r="F73" s="907"/>
      <c r="G73" s="907"/>
      <c r="H73" s="907"/>
      <c r="I73" s="907"/>
      <c r="J73" s="908"/>
    </row>
    <row r="74" spans="1:10" x14ac:dyDescent="0.2">
      <c r="A74" s="906"/>
      <c r="B74" s="907"/>
      <c r="C74" s="907"/>
      <c r="D74" s="907"/>
      <c r="E74" s="907"/>
      <c r="F74" s="907"/>
      <c r="G74" s="907"/>
      <c r="H74" s="907"/>
      <c r="I74" s="907"/>
      <c r="J74" s="908"/>
    </row>
    <row r="75" spans="1:10" x14ac:dyDescent="0.2">
      <c r="A75" s="906"/>
      <c r="B75" s="907"/>
      <c r="C75" s="907"/>
      <c r="D75" s="907"/>
      <c r="E75" s="907"/>
      <c r="F75" s="907"/>
      <c r="G75" s="907"/>
      <c r="H75" s="907"/>
      <c r="I75" s="907"/>
      <c r="J75" s="908"/>
    </row>
    <row r="76" spans="1:10" x14ac:dyDescent="0.2">
      <c r="A76" s="906"/>
      <c r="B76" s="907"/>
      <c r="C76" s="907"/>
      <c r="D76" s="907"/>
      <c r="E76" s="907"/>
      <c r="F76" s="907"/>
      <c r="G76" s="907"/>
      <c r="H76" s="907"/>
      <c r="I76" s="907"/>
      <c r="J76" s="908"/>
    </row>
    <row r="77" spans="1:10" x14ac:dyDescent="0.2">
      <c r="A77" s="906"/>
      <c r="B77" s="907"/>
      <c r="C77" s="907"/>
      <c r="D77" s="907"/>
      <c r="E77" s="907"/>
      <c r="F77" s="907"/>
      <c r="G77" s="907"/>
      <c r="H77" s="907"/>
      <c r="I77" s="907"/>
      <c r="J77" s="908"/>
    </row>
    <row r="78" spans="1:10" x14ac:dyDescent="0.2">
      <c r="A78" s="906"/>
      <c r="B78" s="907"/>
      <c r="C78" s="907"/>
      <c r="D78" s="907"/>
      <c r="E78" s="907"/>
      <c r="F78" s="907"/>
      <c r="G78" s="907"/>
      <c r="H78" s="907"/>
      <c r="I78" s="907"/>
      <c r="J78" s="908"/>
    </row>
    <row r="79" spans="1:10" x14ac:dyDescent="0.2">
      <c r="A79" s="906"/>
      <c r="B79" s="907"/>
      <c r="C79" s="907"/>
      <c r="D79" s="907"/>
      <c r="E79" s="907"/>
      <c r="F79" s="907"/>
      <c r="G79" s="907"/>
      <c r="H79" s="907"/>
      <c r="I79" s="907"/>
      <c r="J79" s="908"/>
    </row>
    <row r="80" spans="1:10" x14ac:dyDescent="0.2">
      <c r="A80" s="906"/>
      <c r="B80" s="907"/>
      <c r="C80" s="907"/>
      <c r="D80" s="907"/>
      <c r="E80" s="907"/>
      <c r="F80" s="907"/>
      <c r="G80" s="907"/>
      <c r="H80" s="907"/>
      <c r="I80" s="907"/>
      <c r="J80" s="908"/>
    </row>
    <row r="81" spans="1:10" x14ac:dyDescent="0.2">
      <c r="A81" s="906"/>
      <c r="B81" s="907"/>
      <c r="C81" s="907"/>
      <c r="D81" s="907"/>
      <c r="E81" s="907"/>
      <c r="F81" s="907"/>
      <c r="G81" s="907"/>
      <c r="H81" s="907"/>
      <c r="I81" s="907"/>
      <c r="J81" s="908"/>
    </row>
    <row r="82" spans="1:10" x14ac:dyDescent="0.2">
      <c r="A82" s="906"/>
      <c r="B82" s="907"/>
      <c r="C82" s="907"/>
      <c r="D82" s="907"/>
      <c r="E82" s="907"/>
      <c r="F82" s="907"/>
      <c r="G82" s="907"/>
      <c r="H82" s="907"/>
      <c r="I82" s="907"/>
      <c r="J82" s="908"/>
    </row>
    <row r="83" spans="1:10" x14ac:dyDescent="0.2">
      <c r="A83" s="906"/>
      <c r="B83" s="907"/>
      <c r="C83" s="907"/>
      <c r="D83" s="907"/>
      <c r="E83" s="907"/>
      <c r="F83" s="907"/>
      <c r="G83" s="907"/>
      <c r="H83" s="907"/>
      <c r="I83" s="907"/>
      <c r="J83" s="908"/>
    </row>
    <row r="84" spans="1:10" x14ac:dyDescent="0.2">
      <c r="A84" s="906"/>
      <c r="B84" s="907"/>
      <c r="C84" s="907"/>
      <c r="D84" s="907"/>
      <c r="E84" s="907"/>
      <c r="F84" s="907"/>
      <c r="G84" s="907"/>
      <c r="H84" s="907"/>
      <c r="I84" s="907"/>
      <c r="J84" s="908"/>
    </row>
    <row r="85" spans="1:10" x14ac:dyDescent="0.2">
      <c r="A85" s="906"/>
      <c r="B85" s="907"/>
      <c r="C85" s="907"/>
      <c r="D85" s="907"/>
      <c r="E85" s="907"/>
      <c r="F85" s="907"/>
      <c r="G85" s="907"/>
      <c r="H85" s="907"/>
      <c r="I85" s="907"/>
      <c r="J85" s="908"/>
    </row>
    <row r="86" spans="1:10" x14ac:dyDescent="0.2">
      <c r="A86" s="906"/>
      <c r="B86" s="907"/>
      <c r="C86" s="907"/>
      <c r="D86" s="907"/>
      <c r="E86" s="907"/>
      <c r="F86" s="907"/>
      <c r="G86" s="907"/>
      <c r="H86" s="907"/>
      <c r="I86" s="907"/>
      <c r="J86" s="908"/>
    </row>
    <row r="87" spans="1:10" x14ac:dyDescent="0.2">
      <c r="A87" s="906"/>
      <c r="B87" s="907"/>
      <c r="C87" s="907"/>
      <c r="D87" s="907"/>
      <c r="E87" s="907"/>
      <c r="F87" s="907"/>
      <c r="G87" s="907"/>
      <c r="H87" s="907"/>
      <c r="I87" s="907"/>
      <c r="J87" s="908"/>
    </row>
    <row r="88" spans="1:10" x14ac:dyDescent="0.2">
      <c r="A88" s="906"/>
      <c r="B88" s="907"/>
      <c r="C88" s="907"/>
      <c r="D88" s="907"/>
      <c r="E88" s="907"/>
      <c r="F88" s="907"/>
      <c r="G88" s="907"/>
      <c r="H88" s="907"/>
      <c r="I88" s="907"/>
      <c r="J88" s="908"/>
    </row>
    <row r="89" spans="1:10" x14ac:dyDescent="0.2">
      <c r="A89" s="906"/>
      <c r="B89" s="907"/>
      <c r="C89" s="907"/>
      <c r="D89" s="907"/>
      <c r="E89" s="907"/>
      <c r="F89" s="907"/>
      <c r="G89" s="907"/>
      <c r="H89" s="907"/>
      <c r="I89" s="907"/>
      <c r="J89" s="908"/>
    </row>
    <row r="90" spans="1:10" x14ac:dyDescent="0.2">
      <c r="A90" s="906"/>
      <c r="B90" s="907"/>
      <c r="C90" s="907"/>
      <c r="D90" s="907"/>
      <c r="E90" s="907"/>
      <c r="F90" s="907"/>
      <c r="G90" s="907"/>
      <c r="H90" s="907"/>
      <c r="I90" s="907"/>
      <c r="J90" s="908"/>
    </row>
    <row r="91" spans="1:10" x14ac:dyDescent="0.2">
      <c r="A91" s="906"/>
      <c r="B91" s="907"/>
      <c r="C91" s="907"/>
      <c r="D91" s="907"/>
      <c r="E91" s="907"/>
      <c r="F91" s="907"/>
      <c r="G91" s="907"/>
      <c r="H91" s="907"/>
      <c r="I91" s="907"/>
      <c r="J91" s="908"/>
    </row>
    <row r="92" spans="1:10" x14ac:dyDescent="0.2">
      <c r="A92" s="906"/>
      <c r="B92" s="907"/>
      <c r="C92" s="907"/>
      <c r="D92" s="907"/>
      <c r="E92" s="907"/>
      <c r="F92" s="907"/>
      <c r="G92" s="907"/>
      <c r="H92" s="907"/>
      <c r="I92" s="907"/>
      <c r="J92" s="908"/>
    </row>
    <row r="93" spans="1:10" x14ac:dyDescent="0.2">
      <c r="A93" s="906"/>
      <c r="B93" s="907"/>
      <c r="C93" s="907"/>
      <c r="D93" s="907"/>
      <c r="E93" s="907"/>
      <c r="F93" s="907"/>
      <c r="G93" s="907"/>
      <c r="H93" s="907"/>
      <c r="I93" s="907"/>
      <c r="J93" s="908"/>
    </row>
    <row r="94" spans="1:10" x14ac:dyDescent="0.2">
      <c r="A94" s="906"/>
      <c r="B94" s="907"/>
      <c r="C94" s="907"/>
      <c r="D94" s="907"/>
      <c r="E94" s="907"/>
      <c r="F94" s="907"/>
      <c r="G94" s="907"/>
      <c r="H94" s="907"/>
      <c r="I94" s="907"/>
      <c r="J94" s="908"/>
    </row>
    <row r="95" spans="1:10" x14ac:dyDescent="0.2">
      <c r="A95" s="906"/>
      <c r="B95" s="907"/>
      <c r="C95" s="907"/>
      <c r="D95" s="907"/>
      <c r="E95" s="907"/>
      <c r="F95" s="907"/>
      <c r="G95" s="907"/>
      <c r="H95" s="907"/>
      <c r="I95" s="907"/>
      <c r="J95" s="908"/>
    </row>
    <row r="96" spans="1:10" x14ac:dyDescent="0.2">
      <c r="A96" s="906"/>
      <c r="B96" s="907"/>
      <c r="C96" s="907"/>
      <c r="D96" s="907"/>
      <c r="E96" s="907"/>
      <c r="F96" s="907"/>
      <c r="G96" s="907"/>
      <c r="H96" s="907"/>
      <c r="I96" s="907"/>
      <c r="J96" s="908"/>
    </row>
    <row r="97" spans="1:10" x14ac:dyDescent="0.2">
      <c r="A97" s="906"/>
      <c r="B97" s="907"/>
      <c r="C97" s="907"/>
      <c r="D97" s="907"/>
      <c r="E97" s="907"/>
      <c r="F97" s="907"/>
      <c r="G97" s="907"/>
      <c r="H97" s="907"/>
      <c r="I97" s="907"/>
      <c r="J97" s="908"/>
    </row>
    <row r="98" spans="1:10" x14ac:dyDescent="0.2">
      <c r="A98" s="906"/>
      <c r="B98" s="907"/>
      <c r="C98" s="907"/>
      <c r="D98" s="907"/>
      <c r="E98" s="907"/>
      <c r="F98" s="907"/>
      <c r="G98" s="907"/>
      <c r="H98" s="907"/>
      <c r="I98" s="907"/>
      <c r="J98" s="908"/>
    </row>
    <row r="99" spans="1:10" x14ac:dyDescent="0.2">
      <c r="A99" s="906"/>
      <c r="B99" s="907"/>
      <c r="C99" s="907"/>
      <c r="D99" s="907"/>
      <c r="E99" s="907"/>
      <c r="F99" s="907"/>
      <c r="G99" s="907"/>
      <c r="H99" s="907"/>
      <c r="I99" s="907"/>
      <c r="J99" s="908"/>
    </row>
    <row r="100" spans="1:10" x14ac:dyDescent="0.2">
      <c r="A100" s="906"/>
      <c r="B100" s="907"/>
      <c r="C100" s="907"/>
      <c r="D100" s="907"/>
      <c r="E100" s="907"/>
      <c r="F100" s="907"/>
      <c r="G100" s="907"/>
      <c r="H100" s="907"/>
      <c r="I100" s="907"/>
      <c r="J100" s="908"/>
    </row>
    <row r="101" spans="1:10" x14ac:dyDescent="0.2">
      <c r="A101" s="906"/>
      <c r="B101" s="907"/>
      <c r="C101" s="907"/>
      <c r="D101" s="907"/>
      <c r="E101" s="907"/>
      <c r="F101" s="907"/>
      <c r="G101" s="907"/>
      <c r="H101" s="907"/>
      <c r="I101" s="907"/>
      <c r="J101" s="908"/>
    </row>
    <row r="102" spans="1:10" x14ac:dyDescent="0.2">
      <c r="A102" s="906"/>
      <c r="B102" s="907"/>
      <c r="C102" s="907"/>
      <c r="D102" s="907"/>
      <c r="E102" s="907"/>
      <c r="F102" s="907"/>
      <c r="G102" s="907"/>
      <c r="H102" s="907"/>
      <c r="I102" s="907"/>
      <c r="J102" s="908"/>
    </row>
    <row r="103" spans="1:10" x14ac:dyDescent="0.2">
      <c r="A103" s="906"/>
      <c r="B103" s="907"/>
      <c r="C103" s="907"/>
      <c r="D103" s="907"/>
      <c r="E103" s="907"/>
      <c r="F103" s="907"/>
      <c r="G103" s="907"/>
      <c r="H103" s="907"/>
      <c r="I103" s="907"/>
      <c r="J103" s="908"/>
    </row>
    <row r="104" spans="1:10" x14ac:dyDescent="0.2">
      <c r="A104" s="906"/>
      <c r="B104" s="907"/>
      <c r="C104" s="907"/>
      <c r="D104" s="907"/>
      <c r="E104" s="907"/>
      <c r="F104" s="907"/>
      <c r="G104" s="907"/>
      <c r="H104" s="907"/>
      <c r="I104" s="907"/>
      <c r="J104" s="908"/>
    </row>
    <row r="105" spans="1:10" x14ac:dyDescent="0.2">
      <c r="A105" s="906"/>
      <c r="B105" s="907"/>
      <c r="C105" s="907"/>
      <c r="D105" s="907"/>
      <c r="E105" s="907"/>
      <c r="F105" s="907"/>
      <c r="G105" s="907"/>
      <c r="H105" s="907"/>
      <c r="I105" s="907"/>
      <c r="J105" s="908"/>
    </row>
    <row r="106" spans="1:10" x14ac:dyDescent="0.2">
      <c r="A106" s="906"/>
      <c r="B106" s="907"/>
      <c r="C106" s="907"/>
      <c r="D106" s="907"/>
      <c r="E106" s="907"/>
      <c r="F106" s="907"/>
      <c r="G106" s="907"/>
      <c r="H106" s="907"/>
      <c r="I106" s="907"/>
      <c r="J106" s="908"/>
    </row>
    <row r="107" spans="1:10" x14ac:dyDescent="0.2">
      <c r="A107" s="906"/>
      <c r="B107" s="907"/>
      <c r="C107" s="907"/>
      <c r="D107" s="907"/>
      <c r="E107" s="907"/>
      <c r="F107" s="907"/>
      <c r="G107" s="907"/>
      <c r="H107" s="907"/>
      <c r="I107" s="907"/>
      <c r="J107" s="908"/>
    </row>
    <row r="108" spans="1:10" x14ac:dyDescent="0.2">
      <c r="A108" s="906"/>
      <c r="B108" s="907"/>
      <c r="C108" s="907"/>
      <c r="D108" s="907"/>
      <c r="E108" s="907"/>
      <c r="F108" s="907"/>
      <c r="G108" s="907"/>
      <c r="H108" s="907"/>
      <c r="I108" s="907"/>
      <c r="J108" s="908"/>
    </row>
    <row r="109" spans="1:10" x14ac:dyDescent="0.2">
      <c r="A109" s="906"/>
      <c r="B109" s="907"/>
      <c r="C109" s="907"/>
      <c r="D109" s="907"/>
      <c r="E109" s="907"/>
      <c r="F109" s="907"/>
      <c r="G109" s="907"/>
      <c r="H109" s="907"/>
      <c r="I109" s="907"/>
      <c r="J109" s="908"/>
    </row>
    <row r="110" spans="1:10" x14ac:dyDescent="0.2">
      <c r="A110" s="906"/>
      <c r="B110" s="907"/>
      <c r="C110" s="907"/>
      <c r="D110" s="907"/>
      <c r="E110" s="907"/>
      <c r="F110" s="907"/>
      <c r="G110" s="907"/>
      <c r="H110" s="907"/>
      <c r="I110" s="907"/>
      <c r="J110" s="908"/>
    </row>
    <row r="111" spans="1:10" x14ac:dyDescent="0.2">
      <c r="A111" s="906"/>
      <c r="B111" s="907"/>
      <c r="C111" s="907"/>
      <c r="D111" s="907"/>
      <c r="E111" s="907"/>
      <c r="F111" s="907"/>
      <c r="G111" s="907"/>
      <c r="H111" s="907"/>
      <c r="I111" s="907"/>
      <c r="J111" s="908"/>
    </row>
    <row r="112" spans="1:10" x14ac:dyDescent="0.2">
      <c r="A112" s="906"/>
      <c r="B112" s="907"/>
      <c r="C112" s="907"/>
      <c r="D112" s="907"/>
      <c r="E112" s="907"/>
      <c r="F112" s="907"/>
      <c r="G112" s="907"/>
      <c r="H112" s="907"/>
      <c r="I112" s="907"/>
      <c r="J112" s="908"/>
    </row>
    <row r="113" spans="1:10" x14ac:dyDescent="0.2">
      <c r="A113" s="906"/>
      <c r="B113" s="907"/>
      <c r="C113" s="907"/>
      <c r="D113" s="907"/>
      <c r="E113" s="907"/>
      <c r="F113" s="907"/>
      <c r="G113" s="907"/>
      <c r="H113" s="907"/>
      <c r="I113" s="907"/>
      <c r="J113" s="908"/>
    </row>
    <row r="114" spans="1:10" x14ac:dyDescent="0.2">
      <c r="A114" s="906"/>
      <c r="B114" s="907"/>
      <c r="C114" s="907"/>
      <c r="D114" s="907"/>
      <c r="E114" s="907"/>
      <c r="F114" s="907"/>
      <c r="G114" s="907"/>
      <c r="H114" s="907"/>
      <c r="I114" s="907"/>
      <c r="J114" s="908"/>
    </row>
    <row r="115" spans="1:10" x14ac:dyDescent="0.2">
      <c r="A115" s="906"/>
      <c r="B115" s="907"/>
      <c r="C115" s="907"/>
      <c r="D115" s="907"/>
      <c r="E115" s="907"/>
      <c r="F115" s="907"/>
      <c r="G115" s="907"/>
      <c r="H115" s="907"/>
      <c r="I115" s="907"/>
      <c r="J115" s="908"/>
    </row>
    <row r="116" spans="1:10" x14ac:dyDescent="0.2">
      <c r="A116" s="906"/>
      <c r="B116" s="907"/>
      <c r="C116" s="907"/>
      <c r="D116" s="907"/>
      <c r="E116" s="907"/>
      <c r="F116" s="907"/>
      <c r="G116" s="907"/>
      <c r="H116" s="907"/>
      <c r="I116" s="907"/>
      <c r="J116" s="908"/>
    </row>
    <row r="117" spans="1:10" x14ac:dyDescent="0.2">
      <c r="A117" s="906"/>
      <c r="B117" s="907"/>
      <c r="C117" s="907"/>
      <c r="D117" s="907"/>
      <c r="E117" s="907"/>
      <c r="F117" s="907"/>
      <c r="G117" s="907"/>
      <c r="H117" s="907"/>
      <c r="I117" s="907"/>
      <c r="J117" s="908"/>
    </row>
    <row r="118" spans="1:10" x14ac:dyDescent="0.2">
      <c r="A118" s="906"/>
      <c r="B118" s="907"/>
      <c r="C118" s="907"/>
      <c r="D118" s="907"/>
      <c r="E118" s="907"/>
      <c r="F118" s="907"/>
      <c r="G118" s="907"/>
      <c r="H118" s="907"/>
      <c r="I118" s="907"/>
      <c r="J118" s="908"/>
    </row>
    <row r="119" spans="1:10" x14ac:dyDescent="0.2">
      <c r="A119" s="906"/>
      <c r="B119" s="907"/>
      <c r="C119" s="907"/>
      <c r="D119" s="907"/>
      <c r="E119" s="907"/>
      <c r="F119" s="907"/>
      <c r="G119" s="907"/>
      <c r="H119" s="907"/>
      <c r="I119" s="907"/>
      <c r="J119" s="908"/>
    </row>
    <row r="120" spans="1:10" x14ac:dyDescent="0.2">
      <c r="A120" s="906"/>
      <c r="B120" s="907"/>
      <c r="C120" s="907"/>
      <c r="D120" s="907"/>
      <c r="E120" s="907"/>
      <c r="F120" s="907"/>
      <c r="G120" s="907"/>
      <c r="H120" s="907"/>
      <c r="I120" s="907"/>
      <c r="J120" s="908"/>
    </row>
    <row r="121" spans="1:10" x14ac:dyDescent="0.2">
      <c r="A121" s="906"/>
      <c r="B121" s="907"/>
      <c r="C121" s="907"/>
      <c r="D121" s="907"/>
      <c r="E121" s="907"/>
      <c r="F121" s="907"/>
      <c r="G121" s="907"/>
      <c r="H121" s="907"/>
      <c r="I121" s="907"/>
      <c r="J121" s="908"/>
    </row>
    <row r="122" spans="1:10" x14ac:dyDescent="0.2">
      <c r="A122" s="906"/>
      <c r="B122" s="907"/>
      <c r="C122" s="907"/>
      <c r="D122" s="907"/>
      <c r="E122" s="907"/>
      <c r="F122" s="907"/>
      <c r="G122" s="907"/>
      <c r="H122" s="907"/>
      <c r="I122" s="907"/>
      <c r="J122" s="908"/>
    </row>
    <row r="123" spans="1:10" x14ac:dyDescent="0.2">
      <c r="A123" s="906"/>
      <c r="B123" s="907"/>
      <c r="C123" s="907"/>
      <c r="D123" s="907"/>
      <c r="E123" s="907"/>
      <c r="F123" s="907"/>
      <c r="G123" s="907"/>
      <c r="H123" s="907"/>
      <c r="I123" s="907"/>
      <c r="J123" s="908"/>
    </row>
    <row r="124" spans="1:10" x14ac:dyDescent="0.2">
      <c r="A124" s="906"/>
      <c r="B124" s="907"/>
      <c r="C124" s="907"/>
      <c r="D124" s="907"/>
      <c r="E124" s="907"/>
      <c r="F124" s="907"/>
      <c r="G124" s="907"/>
      <c r="H124" s="907"/>
      <c r="I124" s="907"/>
      <c r="J124" s="908"/>
    </row>
    <row r="125" spans="1:10" x14ac:dyDescent="0.2">
      <c r="A125" s="906"/>
      <c r="B125" s="907"/>
      <c r="C125" s="907"/>
      <c r="D125" s="907"/>
      <c r="E125" s="907"/>
      <c r="F125" s="907"/>
      <c r="G125" s="907"/>
      <c r="H125" s="907"/>
      <c r="I125" s="907"/>
      <c r="J125" s="908"/>
    </row>
    <row r="126" spans="1:10" x14ac:dyDescent="0.2">
      <c r="A126" s="906"/>
      <c r="B126" s="907"/>
      <c r="C126" s="907"/>
      <c r="D126" s="907"/>
      <c r="E126" s="907"/>
      <c r="F126" s="907"/>
      <c r="G126" s="907"/>
      <c r="H126" s="907"/>
      <c r="I126" s="907"/>
      <c r="J126" s="908"/>
    </row>
    <row r="127" spans="1:10" x14ac:dyDescent="0.2">
      <c r="A127" s="906"/>
      <c r="B127" s="907"/>
      <c r="C127" s="907"/>
      <c r="D127" s="907"/>
      <c r="E127" s="907"/>
      <c r="F127" s="907"/>
      <c r="G127" s="907"/>
      <c r="H127" s="907"/>
      <c r="I127" s="907"/>
      <c r="J127" s="908"/>
    </row>
    <row r="128" spans="1:10" x14ac:dyDescent="0.2">
      <c r="A128" s="906"/>
      <c r="B128" s="907"/>
      <c r="C128" s="907"/>
      <c r="D128" s="907"/>
      <c r="E128" s="907"/>
      <c r="F128" s="907"/>
      <c r="G128" s="907"/>
      <c r="H128" s="907"/>
      <c r="I128" s="907"/>
      <c r="J128" s="908"/>
    </row>
    <row r="129" spans="1:10" x14ac:dyDescent="0.2">
      <c r="A129" s="906"/>
      <c r="B129" s="907"/>
      <c r="C129" s="907"/>
      <c r="D129" s="907"/>
      <c r="E129" s="907"/>
      <c r="F129" s="907"/>
      <c r="G129" s="907"/>
      <c r="H129" s="907"/>
      <c r="I129" s="907"/>
      <c r="J129" s="908"/>
    </row>
    <row r="130" spans="1:10" x14ac:dyDescent="0.2">
      <c r="A130" s="906"/>
      <c r="B130" s="907"/>
      <c r="C130" s="907"/>
      <c r="D130" s="907"/>
      <c r="E130" s="907"/>
      <c r="F130" s="907"/>
      <c r="G130" s="907"/>
      <c r="H130" s="907"/>
      <c r="I130" s="907"/>
      <c r="J130" s="908"/>
    </row>
    <row r="131" spans="1:10" x14ac:dyDescent="0.2">
      <c r="A131" s="906"/>
      <c r="B131" s="907"/>
      <c r="C131" s="907"/>
      <c r="D131" s="907"/>
      <c r="E131" s="907"/>
      <c r="F131" s="907"/>
      <c r="G131" s="907"/>
      <c r="H131" s="907"/>
      <c r="I131" s="907"/>
      <c r="J131" s="908"/>
    </row>
    <row r="132" spans="1:10" x14ac:dyDescent="0.2">
      <c r="A132" s="906"/>
      <c r="B132" s="907"/>
      <c r="C132" s="907"/>
      <c r="D132" s="907"/>
      <c r="E132" s="907"/>
      <c r="F132" s="907"/>
      <c r="G132" s="907"/>
      <c r="H132" s="907"/>
      <c r="I132" s="907"/>
      <c r="J132" s="908"/>
    </row>
    <row r="133" spans="1:10" x14ac:dyDescent="0.2">
      <c r="A133" s="906"/>
      <c r="B133" s="907"/>
      <c r="C133" s="907"/>
      <c r="D133" s="907"/>
      <c r="E133" s="907"/>
      <c r="F133" s="907"/>
      <c r="G133" s="907"/>
      <c r="H133" s="907"/>
      <c r="I133" s="907"/>
      <c r="J133" s="908"/>
    </row>
    <row r="134" spans="1:10" x14ac:dyDescent="0.2">
      <c r="A134" s="906"/>
      <c r="B134" s="907"/>
      <c r="C134" s="907"/>
      <c r="D134" s="907"/>
      <c r="E134" s="907"/>
      <c r="F134" s="907"/>
      <c r="G134" s="907"/>
      <c r="H134" s="907"/>
      <c r="I134" s="907"/>
      <c r="J134" s="908"/>
    </row>
    <row r="135" spans="1:10" x14ac:dyDescent="0.2">
      <c r="A135" s="906"/>
      <c r="B135" s="907"/>
      <c r="C135" s="907"/>
      <c r="D135" s="907"/>
      <c r="E135" s="907"/>
      <c r="F135" s="907"/>
      <c r="G135" s="907"/>
      <c r="H135" s="907"/>
      <c r="I135" s="907"/>
      <c r="J135" s="908"/>
    </row>
    <row r="136" spans="1:10" x14ac:dyDescent="0.2">
      <c r="A136" s="906"/>
      <c r="B136" s="907"/>
      <c r="C136" s="907"/>
      <c r="D136" s="907"/>
      <c r="E136" s="907"/>
      <c r="F136" s="907"/>
      <c r="G136" s="907"/>
      <c r="H136" s="907"/>
      <c r="I136" s="907"/>
      <c r="J136" s="908"/>
    </row>
    <row r="137" spans="1:10" x14ac:dyDescent="0.2">
      <c r="A137" s="906"/>
      <c r="B137" s="907"/>
      <c r="C137" s="907"/>
      <c r="D137" s="907"/>
      <c r="E137" s="907"/>
      <c r="F137" s="907"/>
      <c r="G137" s="907"/>
      <c r="H137" s="907"/>
      <c r="I137" s="907"/>
      <c r="J137" s="908"/>
    </row>
    <row r="138" spans="1:10" x14ac:dyDescent="0.2">
      <c r="A138" s="906"/>
      <c r="B138" s="907"/>
      <c r="C138" s="907"/>
      <c r="D138" s="907"/>
      <c r="E138" s="907"/>
      <c r="F138" s="907"/>
      <c r="G138" s="907"/>
      <c r="H138" s="907"/>
      <c r="I138" s="907"/>
      <c r="J138" s="908"/>
    </row>
    <row r="139" spans="1:10" x14ac:dyDescent="0.2">
      <c r="A139" s="906"/>
      <c r="B139" s="907"/>
      <c r="C139" s="907"/>
      <c r="D139" s="907"/>
      <c r="E139" s="907"/>
      <c r="F139" s="907"/>
      <c r="G139" s="907"/>
      <c r="H139" s="907"/>
      <c r="I139" s="907"/>
      <c r="J139" s="908"/>
    </row>
    <row r="140" spans="1:10" x14ac:dyDescent="0.2">
      <c r="A140" s="906"/>
      <c r="B140" s="907"/>
      <c r="C140" s="907"/>
      <c r="D140" s="907"/>
      <c r="E140" s="907"/>
      <c r="F140" s="907"/>
      <c r="G140" s="907"/>
      <c r="H140" s="907"/>
      <c r="I140" s="907"/>
      <c r="J140" s="908"/>
    </row>
    <row r="141" spans="1:10" x14ac:dyDescent="0.2">
      <c r="A141" s="906"/>
      <c r="B141" s="907"/>
      <c r="C141" s="907"/>
      <c r="D141" s="907"/>
      <c r="E141" s="907"/>
      <c r="F141" s="907"/>
      <c r="G141" s="907"/>
      <c r="H141" s="907"/>
      <c r="I141" s="907"/>
      <c r="J141" s="908"/>
    </row>
    <row r="142" spans="1:10" x14ac:dyDescent="0.2">
      <c r="A142" s="906"/>
      <c r="B142" s="907"/>
      <c r="C142" s="907"/>
      <c r="D142" s="907"/>
      <c r="E142" s="907"/>
      <c r="F142" s="907"/>
      <c r="G142" s="907"/>
      <c r="H142" s="907"/>
      <c r="I142" s="907"/>
      <c r="J142" s="908"/>
    </row>
    <row r="143" spans="1:10" x14ac:dyDescent="0.2">
      <c r="A143" s="906"/>
      <c r="B143" s="907"/>
      <c r="C143" s="907"/>
      <c r="D143" s="907"/>
      <c r="E143" s="907"/>
      <c r="F143" s="907"/>
      <c r="G143" s="907"/>
      <c r="H143" s="907"/>
      <c r="I143" s="907"/>
      <c r="J143" s="908"/>
    </row>
    <row r="144" spans="1:10" x14ac:dyDescent="0.2">
      <c r="A144" s="906"/>
      <c r="B144" s="907"/>
      <c r="C144" s="907"/>
      <c r="D144" s="907"/>
      <c r="E144" s="907"/>
      <c r="F144" s="907"/>
      <c r="G144" s="907"/>
      <c r="H144" s="907"/>
      <c r="I144" s="907"/>
      <c r="J144" s="908"/>
    </row>
    <row r="145" spans="1:10" x14ac:dyDescent="0.2">
      <c r="A145" s="906"/>
      <c r="B145" s="907"/>
      <c r="C145" s="907"/>
      <c r="D145" s="907"/>
      <c r="E145" s="907"/>
      <c r="F145" s="907"/>
      <c r="G145" s="907"/>
      <c r="H145" s="907"/>
      <c r="I145" s="907"/>
      <c r="J145" s="908"/>
    </row>
    <row r="146" spans="1:10" x14ac:dyDescent="0.2">
      <c r="A146" s="906"/>
      <c r="B146" s="907"/>
      <c r="C146" s="907"/>
      <c r="D146" s="907"/>
      <c r="E146" s="907"/>
      <c r="F146" s="907"/>
      <c r="G146" s="907"/>
      <c r="H146" s="907"/>
      <c r="I146" s="907"/>
      <c r="J146" s="908"/>
    </row>
    <row r="147" spans="1:10" x14ac:dyDescent="0.2">
      <c r="A147" s="906"/>
      <c r="B147" s="907"/>
      <c r="C147" s="907"/>
      <c r="D147" s="907"/>
      <c r="E147" s="907"/>
      <c r="F147" s="907"/>
      <c r="G147" s="907"/>
      <c r="H147" s="907"/>
      <c r="I147" s="907"/>
      <c r="J147" s="908"/>
    </row>
    <row r="148" spans="1:10" x14ac:dyDescent="0.2">
      <c r="A148" s="906"/>
      <c r="B148" s="907"/>
      <c r="C148" s="907"/>
      <c r="D148" s="907"/>
      <c r="E148" s="907"/>
      <c r="F148" s="907"/>
      <c r="G148" s="907"/>
      <c r="H148" s="907"/>
      <c r="I148" s="907"/>
      <c r="J148" s="908"/>
    </row>
    <row r="149" spans="1:10" x14ac:dyDescent="0.2">
      <c r="A149" s="906"/>
      <c r="B149" s="907"/>
      <c r="C149" s="907"/>
      <c r="D149" s="907"/>
      <c r="E149" s="907"/>
      <c r="F149" s="907"/>
      <c r="G149" s="907"/>
      <c r="H149" s="907"/>
      <c r="I149" s="907"/>
      <c r="J149" s="908"/>
    </row>
    <row r="150" spans="1:10" x14ac:dyDescent="0.2">
      <c r="A150" s="906"/>
      <c r="B150" s="907"/>
      <c r="C150" s="907"/>
      <c r="D150" s="907"/>
      <c r="E150" s="907"/>
      <c r="F150" s="907"/>
      <c r="G150" s="907"/>
      <c r="H150" s="907"/>
      <c r="I150" s="907"/>
      <c r="J150" s="908"/>
    </row>
    <row r="151" spans="1:10" x14ac:dyDescent="0.2">
      <c r="A151" s="906"/>
      <c r="B151" s="907"/>
      <c r="C151" s="907"/>
      <c r="D151" s="907"/>
      <c r="E151" s="907"/>
      <c r="F151" s="907"/>
      <c r="G151" s="907"/>
      <c r="H151" s="907"/>
      <c r="I151" s="907"/>
      <c r="J151" s="908"/>
    </row>
    <row r="152" spans="1:10" x14ac:dyDescent="0.2">
      <c r="A152" s="906"/>
      <c r="B152" s="907"/>
      <c r="C152" s="907"/>
      <c r="D152" s="907"/>
      <c r="E152" s="907"/>
      <c r="F152" s="907"/>
      <c r="G152" s="907"/>
      <c r="H152" s="907"/>
      <c r="I152" s="907"/>
      <c r="J152" s="908"/>
    </row>
    <row r="153" spans="1:10" x14ac:dyDescent="0.2">
      <c r="A153" s="906"/>
      <c r="B153" s="907"/>
      <c r="C153" s="907"/>
      <c r="D153" s="907"/>
      <c r="E153" s="907"/>
      <c r="F153" s="907"/>
      <c r="G153" s="907"/>
      <c r="H153" s="907"/>
      <c r="I153" s="907"/>
      <c r="J153" s="908"/>
    </row>
    <row r="154" spans="1:10" x14ac:dyDescent="0.2">
      <c r="A154" s="906"/>
      <c r="B154" s="907"/>
      <c r="C154" s="907"/>
      <c r="D154" s="907"/>
      <c r="E154" s="907"/>
      <c r="F154" s="907"/>
      <c r="G154" s="907"/>
      <c r="H154" s="907"/>
      <c r="I154" s="907"/>
      <c r="J154" s="908"/>
    </row>
    <row r="155" spans="1:10" x14ac:dyDescent="0.2">
      <c r="A155" s="906"/>
      <c r="B155" s="907"/>
      <c r="C155" s="907"/>
      <c r="D155" s="907"/>
      <c r="E155" s="907"/>
      <c r="F155" s="907"/>
      <c r="G155" s="907"/>
      <c r="H155" s="907"/>
      <c r="I155" s="907"/>
      <c r="J155" s="908"/>
    </row>
    <row r="156" spans="1:10" x14ac:dyDescent="0.2">
      <c r="A156" s="906"/>
      <c r="B156" s="907"/>
      <c r="C156" s="907"/>
      <c r="D156" s="907"/>
      <c r="E156" s="907"/>
      <c r="F156" s="907"/>
      <c r="G156" s="907"/>
      <c r="H156" s="907"/>
      <c r="I156" s="907"/>
      <c r="J156" s="908"/>
    </row>
    <row r="157" spans="1:10" x14ac:dyDescent="0.2">
      <c r="A157" s="906"/>
      <c r="B157" s="907"/>
      <c r="C157" s="907"/>
      <c r="D157" s="907"/>
      <c r="E157" s="907"/>
      <c r="F157" s="907"/>
      <c r="G157" s="907"/>
      <c r="H157" s="907"/>
      <c r="I157" s="907"/>
      <c r="J157" s="908"/>
    </row>
    <row r="158" spans="1:10" x14ac:dyDescent="0.2">
      <c r="A158" s="906"/>
      <c r="B158" s="907"/>
      <c r="C158" s="907"/>
      <c r="D158" s="907"/>
      <c r="E158" s="907"/>
      <c r="F158" s="907"/>
      <c r="G158" s="907"/>
      <c r="H158" s="907"/>
      <c r="I158" s="907"/>
      <c r="J158" s="908"/>
    </row>
    <row r="159" spans="1:10" x14ac:dyDescent="0.2">
      <c r="A159" s="906"/>
      <c r="B159" s="907"/>
      <c r="C159" s="907"/>
      <c r="D159" s="907"/>
      <c r="E159" s="907"/>
      <c r="F159" s="907"/>
      <c r="G159" s="907"/>
      <c r="H159" s="907"/>
      <c r="I159" s="907"/>
      <c r="J159" s="908"/>
    </row>
    <row r="160" spans="1:10" x14ac:dyDescent="0.2">
      <c r="A160" s="906"/>
      <c r="B160" s="907"/>
      <c r="C160" s="907"/>
      <c r="D160" s="907"/>
      <c r="E160" s="907"/>
      <c r="F160" s="907"/>
      <c r="G160" s="907"/>
      <c r="H160" s="907"/>
      <c r="I160" s="907"/>
      <c r="J160" s="908"/>
    </row>
    <row r="161" spans="1:10" x14ac:dyDescent="0.2">
      <c r="A161" s="906"/>
      <c r="B161" s="907"/>
      <c r="C161" s="907"/>
      <c r="D161" s="907"/>
      <c r="E161" s="907"/>
      <c r="F161" s="907"/>
      <c r="G161" s="907"/>
      <c r="H161" s="907"/>
      <c r="I161" s="907"/>
      <c r="J161" s="908"/>
    </row>
    <row r="162" spans="1:10" x14ac:dyDescent="0.2">
      <c r="A162" s="906"/>
      <c r="B162" s="907"/>
      <c r="C162" s="907"/>
      <c r="D162" s="907"/>
      <c r="E162" s="907"/>
      <c r="F162" s="907"/>
      <c r="G162" s="907"/>
      <c r="H162" s="907"/>
      <c r="I162" s="907"/>
      <c r="J162" s="908"/>
    </row>
    <row r="163" spans="1:10" x14ac:dyDescent="0.2">
      <c r="A163" s="906"/>
      <c r="B163" s="907"/>
      <c r="C163" s="907"/>
      <c r="D163" s="907"/>
      <c r="E163" s="907"/>
      <c r="F163" s="907"/>
      <c r="G163" s="907"/>
      <c r="H163" s="907"/>
      <c r="I163" s="907"/>
      <c r="J163" s="908"/>
    </row>
    <row r="164" spans="1:10" x14ac:dyDescent="0.2">
      <c r="A164" s="906"/>
      <c r="B164" s="907"/>
      <c r="C164" s="907"/>
      <c r="D164" s="907"/>
      <c r="E164" s="907"/>
      <c r="F164" s="907"/>
      <c r="G164" s="907"/>
      <c r="H164" s="907"/>
      <c r="I164" s="907"/>
      <c r="J164" s="908"/>
    </row>
    <row r="165" spans="1:10" x14ac:dyDescent="0.2">
      <c r="A165" s="906"/>
      <c r="B165" s="907"/>
      <c r="C165" s="907"/>
      <c r="D165" s="907"/>
      <c r="E165" s="907"/>
      <c r="F165" s="907"/>
      <c r="G165" s="907"/>
      <c r="H165" s="907"/>
      <c r="I165" s="907"/>
      <c r="J165" s="908"/>
    </row>
    <row r="166" spans="1:10" x14ac:dyDescent="0.2">
      <c r="A166" s="906"/>
      <c r="B166" s="907"/>
      <c r="C166" s="907"/>
      <c r="D166" s="907"/>
      <c r="E166" s="907"/>
      <c r="F166" s="907"/>
      <c r="G166" s="907"/>
      <c r="H166" s="907"/>
      <c r="I166" s="907"/>
      <c r="J166" s="908"/>
    </row>
    <row r="167" spans="1:10" x14ac:dyDescent="0.2">
      <c r="A167" s="906"/>
      <c r="B167" s="907"/>
      <c r="C167" s="907"/>
      <c r="D167" s="907"/>
      <c r="E167" s="907"/>
      <c r="F167" s="907"/>
      <c r="G167" s="907"/>
      <c r="H167" s="907"/>
      <c r="I167" s="907"/>
      <c r="J167" s="908"/>
    </row>
    <row r="168" spans="1:10" x14ac:dyDescent="0.2">
      <c r="A168" s="906"/>
      <c r="B168" s="907"/>
      <c r="C168" s="907"/>
      <c r="D168" s="907"/>
      <c r="E168" s="907"/>
      <c r="F168" s="907"/>
      <c r="G168" s="907"/>
      <c r="H168" s="907"/>
      <c r="I168" s="907"/>
      <c r="J168" s="908"/>
    </row>
    <row r="169" spans="1:10" x14ac:dyDescent="0.2">
      <c r="A169" s="906"/>
      <c r="B169" s="907"/>
      <c r="C169" s="907"/>
      <c r="D169" s="907"/>
      <c r="E169" s="907"/>
      <c r="F169" s="907"/>
      <c r="G169" s="907"/>
      <c r="H169" s="907"/>
      <c r="I169" s="907"/>
      <c r="J169" s="908"/>
    </row>
    <row r="170" spans="1:10" x14ac:dyDescent="0.2">
      <c r="A170" s="906"/>
      <c r="B170" s="907"/>
      <c r="C170" s="907"/>
      <c r="D170" s="907"/>
      <c r="E170" s="907"/>
      <c r="F170" s="907"/>
      <c r="G170" s="907"/>
      <c r="H170" s="907"/>
      <c r="I170" s="907"/>
      <c r="J170" s="908"/>
    </row>
    <row r="171" spans="1:10" x14ac:dyDescent="0.2">
      <c r="A171" s="906"/>
      <c r="B171" s="907"/>
      <c r="C171" s="907"/>
      <c r="D171" s="907"/>
      <c r="E171" s="907"/>
      <c r="F171" s="907"/>
      <c r="G171" s="907"/>
      <c r="H171" s="907"/>
      <c r="I171" s="907"/>
      <c r="J171" s="908"/>
    </row>
    <row r="172" spans="1:10" x14ac:dyDescent="0.2">
      <c r="A172" s="906"/>
      <c r="B172" s="907"/>
      <c r="C172" s="907"/>
      <c r="D172" s="907"/>
      <c r="E172" s="907"/>
      <c r="F172" s="907"/>
      <c r="G172" s="907"/>
      <c r="H172" s="907"/>
      <c r="I172" s="907"/>
      <c r="J172" s="908"/>
    </row>
    <row r="173" spans="1:10" x14ac:dyDescent="0.2">
      <c r="A173" s="906"/>
      <c r="B173" s="907"/>
      <c r="C173" s="907"/>
      <c r="D173" s="907"/>
      <c r="E173" s="907"/>
      <c r="F173" s="907"/>
      <c r="G173" s="907"/>
      <c r="H173" s="907"/>
      <c r="I173" s="907"/>
      <c r="J173" s="908"/>
    </row>
    <row r="174" spans="1:10" x14ac:dyDescent="0.2">
      <c r="A174" s="906"/>
      <c r="B174" s="907"/>
      <c r="C174" s="907"/>
      <c r="D174" s="907"/>
      <c r="E174" s="907"/>
      <c r="F174" s="907"/>
      <c r="G174" s="907"/>
      <c r="H174" s="907"/>
      <c r="I174" s="907"/>
      <c r="J174" s="908"/>
    </row>
    <row r="175" spans="1:10" x14ac:dyDescent="0.2">
      <c r="A175" s="906"/>
      <c r="B175" s="907"/>
      <c r="C175" s="907"/>
      <c r="D175" s="907"/>
      <c r="E175" s="907"/>
      <c r="F175" s="907"/>
      <c r="G175" s="907"/>
      <c r="H175" s="907"/>
      <c r="I175" s="907"/>
      <c r="J175" s="908"/>
    </row>
    <row r="176" spans="1:10" x14ac:dyDescent="0.2">
      <c r="A176" s="906"/>
      <c r="B176" s="907"/>
      <c r="C176" s="907"/>
      <c r="D176" s="907"/>
      <c r="E176" s="907"/>
      <c r="F176" s="907"/>
      <c r="G176" s="907"/>
      <c r="H176" s="907"/>
      <c r="I176" s="907"/>
      <c r="J176" s="908"/>
    </row>
    <row r="177" spans="1:10" x14ac:dyDescent="0.2">
      <c r="A177" s="906"/>
      <c r="B177" s="907"/>
      <c r="C177" s="907"/>
      <c r="D177" s="907"/>
      <c r="E177" s="907"/>
      <c r="F177" s="907"/>
      <c r="G177" s="907"/>
      <c r="H177" s="907"/>
      <c r="I177" s="907"/>
      <c r="J177" s="908"/>
    </row>
    <row r="178" spans="1:10" x14ac:dyDescent="0.2">
      <c r="A178" s="906"/>
      <c r="B178" s="907"/>
      <c r="C178" s="907"/>
      <c r="D178" s="907"/>
      <c r="E178" s="907"/>
      <c r="F178" s="907"/>
      <c r="G178" s="907"/>
      <c r="H178" s="907"/>
      <c r="I178" s="907"/>
      <c r="J178" s="908"/>
    </row>
    <row r="179" spans="1:10" x14ac:dyDescent="0.2">
      <c r="A179" s="906"/>
      <c r="B179" s="907"/>
      <c r="C179" s="907"/>
      <c r="D179" s="907"/>
      <c r="E179" s="907"/>
      <c r="F179" s="907"/>
      <c r="G179" s="907"/>
      <c r="H179" s="907"/>
      <c r="I179" s="907"/>
      <c r="J179" s="908"/>
    </row>
    <row r="180" spans="1:10" x14ac:dyDescent="0.2">
      <c r="A180" s="906"/>
      <c r="B180" s="907"/>
      <c r="C180" s="907"/>
      <c r="D180" s="907"/>
      <c r="E180" s="907"/>
      <c r="F180" s="907"/>
      <c r="G180" s="907"/>
      <c r="H180" s="907"/>
      <c r="I180" s="907"/>
      <c r="J180" s="908"/>
    </row>
    <row r="181" spans="1:10" x14ac:dyDescent="0.2">
      <c r="A181" s="906"/>
      <c r="B181" s="907"/>
      <c r="C181" s="907"/>
      <c r="D181" s="907"/>
      <c r="E181" s="907"/>
      <c r="F181" s="907"/>
      <c r="G181" s="907"/>
      <c r="H181" s="907"/>
      <c r="I181" s="907"/>
      <c r="J181" s="908"/>
    </row>
    <row r="182" spans="1:10" x14ac:dyDescent="0.2">
      <c r="A182" s="906"/>
      <c r="B182" s="907"/>
      <c r="C182" s="907"/>
      <c r="D182" s="907"/>
      <c r="E182" s="907"/>
      <c r="F182" s="907"/>
      <c r="G182" s="907"/>
      <c r="H182" s="907"/>
      <c r="I182" s="907"/>
      <c r="J182" s="908"/>
    </row>
    <row r="183" spans="1:10" x14ac:dyDescent="0.2">
      <c r="A183" s="906"/>
      <c r="B183" s="907"/>
      <c r="C183" s="907"/>
      <c r="D183" s="907"/>
      <c r="E183" s="907"/>
      <c r="F183" s="907"/>
      <c r="G183" s="907"/>
      <c r="H183" s="907"/>
      <c r="I183" s="907"/>
      <c r="J183" s="908"/>
    </row>
    <row r="184" spans="1:10" x14ac:dyDescent="0.2">
      <c r="A184" s="906"/>
      <c r="B184" s="907"/>
      <c r="C184" s="907"/>
      <c r="D184" s="907"/>
      <c r="E184" s="907"/>
      <c r="F184" s="907"/>
      <c r="G184" s="907"/>
      <c r="H184" s="907"/>
      <c r="I184" s="907"/>
      <c r="J184" s="908"/>
    </row>
    <row r="185" spans="1:10" x14ac:dyDescent="0.2">
      <c r="A185" s="906"/>
      <c r="B185" s="907"/>
      <c r="C185" s="907"/>
      <c r="D185" s="907"/>
      <c r="E185" s="907"/>
      <c r="F185" s="907"/>
      <c r="G185" s="907"/>
      <c r="H185" s="907"/>
      <c r="I185" s="907"/>
      <c r="J185" s="908"/>
    </row>
    <row r="186" spans="1:10" x14ac:dyDescent="0.2">
      <c r="A186" s="906"/>
      <c r="B186" s="907"/>
      <c r="C186" s="907"/>
      <c r="D186" s="907"/>
      <c r="E186" s="907"/>
      <c r="F186" s="907"/>
      <c r="G186" s="907"/>
      <c r="H186" s="907"/>
      <c r="I186" s="907"/>
      <c r="J186" s="908"/>
    </row>
    <row r="187" spans="1:10" x14ac:dyDescent="0.2">
      <c r="A187" s="906"/>
      <c r="B187" s="907"/>
      <c r="C187" s="907"/>
      <c r="D187" s="907"/>
      <c r="E187" s="907"/>
      <c r="F187" s="907"/>
      <c r="G187" s="907"/>
      <c r="H187" s="907"/>
      <c r="I187" s="907"/>
      <c r="J187" s="908"/>
    </row>
    <row r="188" spans="1:10" x14ac:dyDescent="0.2">
      <c r="A188" s="906"/>
      <c r="B188" s="907"/>
      <c r="C188" s="907"/>
      <c r="D188" s="907"/>
      <c r="E188" s="907"/>
      <c r="F188" s="907"/>
      <c r="G188" s="907"/>
      <c r="H188" s="907"/>
      <c r="I188" s="907"/>
      <c r="J188" s="908"/>
    </row>
    <row r="189" spans="1:10" x14ac:dyDescent="0.2">
      <c r="A189" s="906"/>
      <c r="B189" s="907"/>
      <c r="C189" s="907"/>
      <c r="D189" s="907"/>
      <c r="E189" s="907"/>
      <c r="F189" s="907"/>
      <c r="G189" s="907"/>
      <c r="H189" s="907"/>
      <c r="I189" s="907"/>
      <c r="J189" s="908"/>
    </row>
    <row r="190" spans="1:10" x14ac:dyDescent="0.2">
      <c r="A190" s="906"/>
      <c r="B190" s="907"/>
      <c r="C190" s="907"/>
      <c r="D190" s="907"/>
      <c r="E190" s="907"/>
      <c r="F190" s="907"/>
      <c r="G190" s="907"/>
      <c r="H190" s="907"/>
      <c r="I190" s="907"/>
      <c r="J190" s="908"/>
    </row>
    <row r="191" spans="1:10" x14ac:dyDescent="0.2">
      <c r="A191" s="906"/>
      <c r="B191" s="907"/>
      <c r="C191" s="907"/>
      <c r="D191" s="907"/>
      <c r="E191" s="907"/>
      <c r="F191" s="907"/>
      <c r="G191" s="907"/>
      <c r="H191" s="907"/>
      <c r="I191" s="907"/>
      <c r="J191" s="908"/>
    </row>
    <row r="192" spans="1:10" x14ac:dyDescent="0.2">
      <c r="A192" s="906"/>
      <c r="B192" s="907"/>
      <c r="C192" s="907"/>
      <c r="D192" s="907"/>
      <c r="E192" s="907"/>
      <c r="F192" s="907"/>
      <c r="G192" s="907"/>
      <c r="H192" s="907"/>
      <c r="I192" s="907"/>
      <c r="J192" s="908"/>
    </row>
    <row r="193" spans="1:10" x14ac:dyDescent="0.2">
      <c r="A193" s="906"/>
      <c r="B193" s="907"/>
      <c r="C193" s="907"/>
      <c r="D193" s="907"/>
      <c r="E193" s="907"/>
      <c r="F193" s="907"/>
      <c r="G193" s="907"/>
      <c r="H193" s="907"/>
      <c r="I193" s="907"/>
      <c r="J193" s="908"/>
    </row>
    <row r="194" spans="1:10" x14ac:dyDescent="0.2">
      <c r="A194" s="906"/>
      <c r="B194" s="907"/>
      <c r="C194" s="907"/>
      <c r="D194" s="907"/>
      <c r="E194" s="907"/>
      <c r="F194" s="907"/>
      <c r="G194" s="907"/>
      <c r="H194" s="907"/>
      <c r="I194" s="907"/>
      <c r="J194" s="908"/>
    </row>
    <row r="195" spans="1:10" x14ac:dyDescent="0.2">
      <c r="A195" s="906"/>
      <c r="B195" s="907"/>
      <c r="C195" s="907"/>
      <c r="D195" s="907"/>
      <c r="E195" s="907"/>
      <c r="F195" s="907"/>
      <c r="G195" s="907"/>
      <c r="H195" s="907"/>
      <c r="I195" s="907"/>
      <c r="J195" s="908"/>
    </row>
    <row r="196" spans="1:10" x14ac:dyDescent="0.2">
      <c r="A196" s="906"/>
      <c r="B196" s="907"/>
      <c r="C196" s="907"/>
      <c r="D196" s="907"/>
      <c r="E196" s="907"/>
      <c r="F196" s="907"/>
      <c r="G196" s="907"/>
      <c r="H196" s="907"/>
      <c r="I196" s="907"/>
      <c r="J196" s="908"/>
    </row>
    <row r="197" spans="1:10" x14ac:dyDescent="0.2">
      <c r="A197" s="906"/>
      <c r="B197" s="907"/>
      <c r="C197" s="907"/>
      <c r="D197" s="907"/>
      <c r="E197" s="907"/>
      <c r="F197" s="907"/>
      <c r="G197" s="907"/>
      <c r="H197" s="907"/>
      <c r="I197" s="907"/>
      <c r="J197" s="908"/>
    </row>
    <row r="198" spans="1:10" x14ac:dyDescent="0.2">
      <c r="A198" s="906"/>
      <c r="B198" s="907"/>
      <c r="C198" s="907"/>
      <c r="D198" s="907"/>
      <c r="E198" s="907"/>
      <c r="F198" s="907"/>
      <c r="G198" s="907"/>
      <c r="H198" s="907"/>
      <c r="I198" s="907"/>
      <c r="J198" s="908"/>
    </row>
    <row r="199" spans="1:10" x14ac:dyDescent="0.2">
      <c r="A199" s="906"/>
      <c r="B199" s="907"/>
      <c r="C199" s="907"/>
      <c r="D199" s="907"/>
      <c r="E199" s="907"/>
      <c r="F199" s="907"/>
      <c r="G199" s="907"/>
      <c r="H199" s="907"/>
      <c r="I199" s="907"/>
      <c r="J199" s="908"/>
    </row>
    <row r="200" spans="1:10" x14ac:dyDescent="0.2">
      <c r="A200" s="906"/>
      <c r="B200" s="907"/>
      <c r="C200" s="907"/>
      <c r="D200" s="907"/>
      <c r="E200" s="907"/>
      <c r="F200" s="907"/>
      <c r="G200" s="907"/>
      <c r="H200" s="907"/>
      <c r="I200" s="907"/>
      <c r="J200" s="908"/>
    </row>
    <row r="201" spans="1:10" x14ac:dyDescent="0.2">
      <c r="A201" s="906"/>
      <c r="B201" s="907"/>
      <c r="C201" s="907"/>
      <c r="D201" s="907"/>
      <c r="E201" s="907"/>
      <c r="F201" s="907"/>
      <c r="G201" s="907"/>
      <c r="H201" s="907"/>
      <c r="I201" s="907"/>
      <c r="J201" s="908"/>
    </row>
    <row r="202" spans="1:10" x14ac:dyDescent="0.2">
      <c r="A202" s="906"/>
      <c r="B202" s="907"/>
      <c r="C202" s="907"/>
      <c r="D202" s="907"/>
      <c r="E202" s="907"/>
      <c r="F202" s="907"/>
      <c r="G202" s="907"/>
      <c r="H202" s="907"/>
      <c r="I202" s="907"/>
      <c r="J202" s="908"/>
    </row>
    <row r="203" spans="1:10" x14ac:dyDescent="0.2">
      <c r="A203" s="906"/>
      <c r="B203" s="907"/>
      <c r="C203" s="907"/>
      <c r="D203" s="907"/>
      <c r="E203" s="907"/>
      <c r="F203" s="907"/>
      <c r="G203" s="907"/>
      <c r="H203" s="907"/>
      <c r="I203" s="907"/>
      <c r="J203" s="908"/>
    </row>
    <row r="204" spans="1:10" x14ac:dyDescent="0.2">
      <c r="A204" s="906"/>
      <c r="B204" s="907"/>
      <c r="C204" s="907"/>
      <c r="D204" s="907"/>
      <c r="E204" s="907"/>
      <c r="F204" s="907"/>
      <c r="G204" s="907"/>
      <c r="H204" s="907"/>
      <c r="I204" s="907"/>
      <c r="J204" s="908"/>
    </row>
    <row r="205" spans="1:10" x14ac:dyDescent="0.2">
      <c r="A205" s="906"/>
      <c r="B205" s="907"/>
      <c r="C205" s="907"/>
      <c r="D205" s="907"/>
      <c r="E205" s="907"/>
      <c r="F205" s="907"/>
      <c r="G205" s="907"/>
      <c r="H205" s="907"/>
      <c r="I205" s="907"/>
      <c r="J205" s="908"/>
    </row>
    <row r="206" spans="1:10" x14ac:dyDescent="0.2">
      <c r="A206" s="906"/>
      <c r="B206" s="907"/>
      <c r="C206" s="907"/>
      <c r="D206" s="907"/>
      <c r="E206" s="907"/>
      <c r="F206" s="907"/>
      <c r="G206" s="907"/>
      <c r="H206" s="907"/>
      <c r="I206" s="907"/>
      <c r="J206" s="908"/>
    </row>
    <row r="207" spans="1:10" x14ac:dyDescent="0.2">
      <c r="A207" s="906"/>
      <c r="B207" s="907"/>
      <c r="C207" s="907"/>
      <c r="D207" s="907"/>
      <c r="E207" s="907"/>
      <c r="F207" s="907"/>
      <c r="G207" s="907"/>
      <c r="H207" s="907"/>
      <c r="I207" s="907"/>
      <c r="J207" s="908"/>
    </row>
    <row r="208" spans="1:10" x14ac:dyDescent="0.2">
      <c r="A208" s="906"/>
      <c r="B208" s="907"/>
      <c r="C208" s="907"/>
      <c r="D208" s="907"/>
      <c r="E208" s="907"/>
      <c r="F208" s="907"/>
      <c r="G208" s="907"/>
      <c r="H208" s="907"/>
      <c r="I208" s="907"/>
      <c r="J208" s="908"/>
    </row>
    <row r="209" spans="1:10" x14ac:dyDescent="0.2">
      <c r="A209" s="906"/>
      <c r="B209" s="907"/>
      <c r="C209" s="907"/>
      <c r="D209" s="907"/>
      <c r="E209" s="907"/>
      <c r="F209" s="907"/>
      <c r="G209" s="907"/>
      <c r="H209" s="907"/>
      <c r="I209" s="907"/>
      <c r="J209" s="908"/>
    </row>
    <row r="210" spans="1:10" x14ac:dyDescent="0.2">
      <c r="A210" s="906"/>
      <c r="B210" s="907"/>
      <c r="C210" s="907"/>
      <c r="D210" s="907"/>
      <c r="E210" s="907"/>
      <c r="F210" s="907"/>
      <c r="G210" s="907"/>
      <c r="H210" s="907"/>
      <c r="I210" s="907"/>
      <c r="J210" s="908"/>
    </row>
    <row r="211" spans="1:10" x14ac:dyDescent="0.2">
      <c r="A211" s="906"/>
      <c r="B211" s="907"/>
      <c r="C211" s="907"/>
      <c r="D211" s="907"/>
      <c r="E211" s="907"/>
      <c r="F211" s="907"/>
      <c r="G211" s="907"/>
      <c r="H211" s="907"/>
      <c r="I211" s="907"/>
      <c r="J211" s="908"/>
    </row>
    <row r="212" spans="1:10" x14ac:dyDescent="0.2">
      <c r="A212" s="906"/>
      <c r="B212" s="907"/>
      <c r="C212" s="907"/>
      <c r="D212" s="907"/>
      <c r="E212" s="907"/>
      <c r="F212" s="907"/>
      <c r="G212" s="907"/>
      <c r="H212" s="907"/>
      <c r="I212" s="907"/>
      <c r="J212" s="908"/>
    </row>
    <row r="213" spans="1:10" x14ac:dyDescent="0.2">
      <c r="A213" s="906"/>
      <c r="B213" s="907"/>
      <c r="C213" s="907"/>
      <c r="D213" s="907"/>
      <c r="E213" s="907"/>
      <c r="F213" s="907"/>
      <c r="G213" s="907"/>
      <c r="H213" s="907"/>
      <c r="I213" s="907"/>
      <c r="J213" s="908"/>
    </row>
    <row r="214" spans="1:10" x14ac:dyDescent="0.2">
      <c r="A214" s="906"/>
      <c r="B214" s="907"/>
      <c r="C214" s="907"/>
      <c r="D214" s="907"/>
      <c r="E214" s="907"/>
      <c r="F214" s="907"/>
      <c r="G214" s="907"/>
      <c r="H214" s="907"/>
      <c r="I214" s="907"/>
      <c r="J214" s="908"/>
    </row>
    <row r="215" spans="1:10" x14ac:dyDescent="0.2">
      <c r="A215" s="906"/>
      <c r="B215" s="907"/>
      <c r="C215" s="907"/>
      <c r="D215" s="907"/>
      <c r="E215" s="907"/>
      <c r="F215" s="907"/>
      <c r="G215" s="907"/>
      <c r="H215" s="907"/>
      <c r="I215" s="907"/>
      <c r="J215" s="908"/>
    </row>
    <row r="216" spans="1:10" x14ac:dyDescent="0.2">
      <c r="A216" s="906"/>
      <c r="B216" s="907"/>
      <c r="C216" s="907"/>
      <c r="D216" s="907"/>
      <c r="E216" s="907"/>
      <c r="F216" s="907"/>
      <c r="G216" s="907"/>
      <c r="H216" s="907"/>
      <c r="I216" s="907"/>
      <c r="J216" s="908"/>
    </row>
    <row r="217" spans="1:10" x14ac:dyDescent="0.2">
      <c r="A217" s="906"/>
      <c r="B217" s="907"/>
      <c r="C217" s="907"/>
      <c r="D217" s="907"/>
      <c r="E217" s="907"/>
      <c r="F217" s="907"/>
      <c r="G217" s="907"/>
      <c r="H217" s="907"/>
      <c r="I217" s="907"/>
      <c r="J217" s="908"/>
    </row>
    <row r="218" spans="1:10" x14ac:dyDescent="0.2">
      <c r="A218" s="906"/>
      <c r="B218" s="907"/>
      <c r="C218" s="907"/>
      <c r="D218" s="907"/>
      <c r="E218" s="907"/>
      <c r="F218" s="907"/>
      <c r="G218" s="907"/>
      <c r="H218" s="907"/>
      <c r="I218" s="907"/>
      <c r="J218" s="908"/>
    </row>
    <row r="219" spans="1:10" x14ac:dyDescent="0.2">
      <c r="A219" s="906"/>
      <c r="B219" s="907"/>
      <c r="C219" s="907"/>
      <c r="D219" s="907"/>
      <c r="E219" s="907"/>
      <c r="F219" s="907"/>
      <c r="G219" s="907"/>
      <c r="H219" s="907"/>
      <c r="I219" s="907"/>
      <c r="J219" s="908"/>
    </row>
    <row r="220" spans="1:10" x14ac:dyDescent="0.2">
      <c r="A220" s="906"/>
      <c r="B220" s="907"/>
      <c r="C220" s="907"/>
      <c r="D220" s="907"/>
      <c r="E220" s="907"/>
      <c r="F220" s="907"/>
      <c r="G220" s="907"/>
      <c r="H220" s="907"/>
      <c r="I220" s="907"/>
      <c r="J220" s="908"/>
    </row>
    <row r="221" spans="1:10" x14ac:dyDescent="0.2">
      <c r="A221" s="906"/>
      <c r="B221" s="907"/>
      <c r="C221" s="907"/>
      <c r="D221" s="907"/>
      <c r="E221" s="907"/>
      <c r="F221" s="907"/>
      <c r="G221" s="907"/>
      <c r="H221" s="907"/>
      <c r="I221" s="907"/>
      <c r="J221" s="908"/>
    </row>
    <row r="222" spans="1:10" x14ac:dyDescent="0.2">
      <c r="A222" s="906"/>
      <c r="B222" s="907"/>
      <c r="C222" s="907"/>
      <c r="D222" s="907"/>
      <c r="E222" s="907"/>
      <c r="F222" s="907"/>
      <c r="G222" s="907"/>
      <c r="H222" s="907"/>
      <c r="I222" s="907"/>
      <c r="J222" s="908"/>
    </row>
    <row r="223" spans="1:10" x14ac:dyDescent="0.2">
      <c r="A223" s="906"/>
      <c r="B223" s="907"/>
      <c r="C223" s="907"/>
      <c r="D223" s="907"/>
      <c r="E223" s="907"/>
      <c r="F223" s="907"/>
      <c r="G223" s="907"/>
      <c r="H223" s="907"/>
      <c r="I223" s="907"/>
      <c r="J223" s="908"/>
    </row>
    <row r="224" spans="1:10" x14ac:dyDescent="0.2">
      <c r="A224" s="906"/>
      <c r="B224" s="907"/>
      <c r="C224" s="907"/>
      <c r="D224" s="907"/>
      <c r="E224" s="907"/>
      <c r="F224" s="907"/>
      <c r="G224" s="907"/>
      <c r="H224" s="907"/>
      <c r="I224" s="907"/>
      <c r="J224" s="908"/>
    </row>
    <row r="225" spans="1:10" x14ac:dyDescent="0.2">
      <c r="A225" s="906"/>
      <c r="B225" s="907"/>
      <c r="C225" s="907"/>
      <c r="D225" s="907"/>
      <c r="E225" s="907"/>
      <c r="F225" s="907"/>
      <c r="G225" s="907"/>
      <c r="H225" s="907"/>
      <c r="I225" s="907"/>
      <c r="J225" s="908"/>
    </row>
    <row r="226" spans="1:10" x14ac:dyDescent="0.2">
      <c r="A226" s="906"/>
      <c r="B226" s="907"/>
      <c r="C226" s="907"/>
      <c r="D226" s="907"/>
      <c r="E226" s="907"/>
      <c r="F226" s="907"/>
      <c r="G226" s="907"/>
      <c r="H226" s="907"/>
      <c r="I226" s="907"/>
      <c r="J226" s="908"/>
    </row>
    <row r="227" spans="1:10" x14ac:dyDescent="0.2">
      <c r="A227" s="906"/>
      <c r="B227" s="907"/>
      <c r="C227" s="907"/>
      <c r="D227" s="907"/>
      <c r="E227" s="907"/>
      <c r="F227" s="907"/>
      <c r="G227" s="907"/>
      <c r="H227" s="907"/>
      <c r="I227" s="907"/>
      <c r="J227" s="908"/>
    </row>
    <row r="228" spans="1:10" x14ac:dyDescent="0.2">
      <c r="A228" s="906"/>
      <c r="B228" s="907"/>
      <c r="C228" s="907"/>
      <c r="D228" s="907"/>
      <c r="E228" s="907"/>
      <c r="F228" s="907"/>
      <c r="G228" s="907"/>
      <c r="H228" s="907"/>
      <c r="I228" s="907"/>
      <c r="J228" s="908"/>
    </row>
    <row r="229" spans="1:10" x14ac:dyDescent="0.2">
      <c r="A229" s="906"/>
      <c r="B229" s="907"/>
      <c r="C229" s="907"/>
      <c r="D229" s="907"/>
      <c r="E229" s="907"/>
      <c r="F229" s="907"/>
      <c r="G229" s="907"/>
      <c r="H229" s="907"/>
      <c r="I229" s="907"/>
      <c r="J229" s="908"/>
    </row>
    <row r="230" spans="1:10" x14ac:dyDescent="0.2">
      <c r="A230" s="906"/>
      <c r="B230" s="907"/>
      <c r="C230" s="907"/>
      <c r="D230" s="907"/>
      <c r="E230" s="907"/>
      <c r="F230" s="907"/>
      <c r="G230" s="907"/>
      <c r="H230" s="907"/>
      <c r="I230" s="907"/>
      <c r="J230" s="908"/>
    </row>
    <row r="231" spans="1:10" x14ac:dyDescent="0.2">
      <c r="A231" s="906"/>
      <c r="B231" s="907"/>
      <c r="C231" s="907"/>
      <c r="D231" s="907"/>
      <c r="E231" s="907"/>
      <c r="F231" s="907"/>
      <c r="G231" s="907"/>
      <c r="H231" s="907"/>
      <c r="I231" s="907"/>
      <c r="J231" s="908"/>
    </row>
    <row r="232" spans="1:10" x14ac:dyDescent="0.2">
      <c r="A232" s="906"/>
      <c r="B232" s="907"/>
      <c r="C232" s="907"/>
      <c r="D232" s="907"/>
      <c r="E232" s="907"/>
      <c r="F232" s="907"/>
      <c r="G232" s="907"/>
      <c r="H232" s="907"/>
      <c r="I232" s="907"/>
      <c r="J232" s="908"/>
    </row>
    <row r="233" spans="1:10" x14ac:dyDescent="0.2">
      <c r="A233" s="906"/>
      <c r="B233" s="907"/>
      <c r="C233" s="907"/>
      <c r="D233" s="907"/>
      <c r="E233" s="907"/>
      <c r="F233" s="907"/>
      <c r="G233" s="907"/>
      <c r="H233" s="907"/>
      <c r="I233" s="907"/>
      <c r="J233" s="908"/>
    </row>
    <row r="234" spans="1:10" x14ac:dyDescent="0.2">
      <c r="A234" s="906"/>
      <c r="B234" s="907"/>
      <c r="C234" s="907"/>
      <c r="D234" s="907"/>
      <c r="E234" s="907"/>
      <c r="F234" s="907"/>
      <c r="G234" s="907"/>
      <c r="H234" s="907"/>
      <c r="I234" s="907"/>
      <c r="J234" s="908"/>
    </row>
    <row r="235" spans="1:10" x14ac:dyDescent="0.2">
      <c r="A235" s="906"/>
      <c r="B235" s="907"/>
      <c r="C235" s="907"/>
      <c r="D235" s="907"/>
      <c r="E235" s="907"/>
      <c r="F235" s="907"/>
      <c r="G235" s="907"/>
      <c r="H235" s="907"/>
      <c r="I235" s="907"/>
      <c r="J235" s="908"/>
    </row>
    <row r="236" spans="1:10" x14ac:dyDescent="0.2">
      <c r="A236" s="906"/>
      <c r="B236" s="907"/>
      <c r="C236" s="907"/>
      <c r="D236" s="907"/>
      <c r="E236" s="907"/>
      <c r="F236" s="907"/>
      <c r="G236" s="907"/>
      <c r="H236" s="907"/>
      <c r="I236" s="907"/>
      <c r="J236" s="908"/>
    </row>
    <row r="237" spans="1:10" x14ac:dyDescent="0.2">
      <c r="A237" s="906"/>
      <c r="B237" s="907"/>
      <c r="C237" s="907"/>
      <c r="D237" s="907"/>
      <c r="E237" s="907"/>
      <c r="F237" s="907"/>
      <c r="G237" s="907"/>
      <c r="H237" s="907"/>
      <c r="I237" s="907"/>
      <c r="J237" s="908"/>
    </row>
    <row r="238" spans="1:10" x14ac:dyDescent="0.2">
      <c r="A238" s="906"/>
      <c r="B238" s="907"/>
      <c r="C238" s="907"/>
      <c r="D238" s="907"/>
      <c r="E238" s="907"/>
      <c r="F238" s="907"/>
      <c r="G238" s="907"/>
      <c r="H238" s="907"/>
      <c r="I238" s="907"/>
      <c r="J238" s="908"/>
    </row>
    <row r="239" spans="1:10" x14ac:dyDescent="0.2">
      <c r="A239" s="906"/>
      <c r="B239" s="907"/>
      <c r="C239" s="907"/>
      <c r="D239" s="907"/>
      <c r="E239" s="907"/>
      <c r="F239" s="907"/>
      <c r="G239" s="907"/>
      <c r="H239" s="907"/>
      <c r="I239" s="907"/>
      <c r="J239" s="908"/>
    </row>
    <row r="240" spans="1:10" x14ac:dyDescent="0.2">
      <c r="A240" s="906"/>
      <c r="B240" s="907"/>
      <c r="C240" s="907"/>
      <c r="D240" s="907"/>
      <c r="E240" s="907"/>
      <c r="F240" s="907"/>
      <c r="G240" s="907"/>
      <c r="H240" s="907"/>
      <c r="I240" s="907"/>
      <c r="J240" s="908"/>
    </row>
    <row r="241" spans="1:10" x14ac:dyDescent="0.2">
      <c r="A241" s="906"/>
      <c r="B241" s="907"/>
      <c r="C241" s="907"/>
      <c r="D241" s="907"/>
      <c r="E241" s="907"/>
      <c r="F241" s="907"/>
      <c r="G241" s="907"/>
      <c r="H241" s="907"/>
      <c r="I241" s="907"/>
      <c r="J241" s="908"/>
    </row>
    <row r="242" spans="1:10" x14ac:dyDescent="0.2">
      <c r="A242" s="906"/>
      <c r="B242" s="907"/>
      <c r="C242" s="907"/>
      <c r="D242" s="907"/>
      <c r="E242" s="907"/>
      <c r="F242" s="907"/>
      <c r="G242" s="907"/>
      <c r="H242" s="907"/>
      <c r="I242" s="907"/>
      <c r="J242" s="908"/>
    </row>
    <row r="243" spans="1:10" x14ac:dyDescent="0.2">
      <c r="A243" s="906"/>
      <c r="B243" s="907"/>
      <c r="C243" s="907"/>
      <c r="D243" s="907"/>
      <c r="E243" s="907"/>
      <c r="F243" s="907"/>
      <c r="G243" s="907"/>
      <c r="H243" s="907"/>
      <c r="I243" s="907"/>
      <c r="J243" s="908"/>
    </row>
    <row r="244" spans="1:10" x14ac:dyDescent="0.2">
      <c r="A244" s="906"/>
      <c r="B244" s="907"/>
      <c r="C244" s="907"/>
      <c r="D244" s="907"/>
      <c r="E244" s="907"/>
      <c r="F244" s="907"/>
      <c r="G244" s="907"/>
      <c r="H244" s="907"/>
      <c r="I244" s="907"/>
      <c r="J244" s="908"/>
    </row>
    <row r="245" spans="1:10" x14ac:dyDescent="0.2">
      <c r="A245" s="906"/>
      <c r="B245" s="907"/>
      <c r="C245" s="907"/>
      <c r="D245" s="907"/>
      <c r="E245" s="907"/>
      <c r="F245" s="907"/>
      <c r="G245" s="907"/>
      <c r="H245" s="907"/>
      <c r="I245" s="907"/>
      <c r="J245" s="908"/>
    </row>
    <row r="246" spans="1:10" x14ac:dyDescent="0.2">
      <c r="A246" s="906"/>
      <c r="B246" s="907"/>
      <c r="C246" s="907"/>
      <c r="D246" s="907"/>
      <c r="E246" s="907"/>
      <c r="F246" s="907"/>
      <c r="G246" s="907"/>
      <c r="H246" s="907"/>
      <c r="I246" s="907"/>
      <c r="J246" s="908"/>
    </row>
    <row r="247" spans="1:10" x14ac:dyDescent="0.2">
      <c r="A247" s="906"/>
      <c r="B247" s="907"/>
      <c r="C247" s="907"/>
      <c r="D247" s="907"/>
      <c r="E247" s="907"/>
      <c r="F247" s="907"/>
      <c r="G247" s="907"/>
      <c r="H247" s="907"/>
      <c r="I247" s="907"/>
      <c r="J247" s="908"/>
    </row>
    <row r="248" spans="1:10" x14ac:dyDescent="0.2">
      <c r="A248" s="906"/>
      <c r="B248" s="907"/>
      <c r="C248" s="907"/>
      <c r="D248" s="907"/>
      <c r="E248" s="907"/>
      <c r="F248" s="907"/>
      <c r="G248" s="907"/>
      <c r="H248" s="907"/>
      <c r="I248" s="907"/>
      <c r="J248" s="908"/>
    </row>
    <row r="249" spans="1:10" x14ac:dyDescent="0.2">
      <c r="A249" s="906"/>
      <c r="B249" s="907"/>
      <c r="C249" s="907"/>
      <c r="D249" s="907"/>
      <c r="E249" s="907"/>
      <c r="F249" s="907"/>
      <c r="G249" s="907"/>
      <c r="H249" s="907"/>
      <c r="I249" s="907"/>
      <c r="J249" s="908"/>
    </row>
    <row r="250" spans="1:10" x14ac:dyDescent="0.2">
      <c r="A250" s="906"/>
      <c r="B250" s="907"/>
      <c r="C250" s="907"/>
      <c r="D250" s="907"/>
      <c r="E250" s="907"/>
      <c r="F250" s="907"/>
      <c r="G250" s="907"/>
      <c r="H250" s="907"/>
      <c r="I250" s="907"/>
      <c r="J250" s="908"/>
    </row>
    <row r="251" spans="1:10" x14ac:dyDescent="0.2">
      <c r="A251" s="906"/>
      <c r="B251" s="907"/>
      <c r="C251" s="907"/>
      <c r="D251" s="907"/>
      <c r="E251" s="907"/>
      <c r="F251" s="907"/>
      <c r="G251" s="907"/>
      <c r="H251" s="907"/>
      <c r="I251" s="907"/>
      <c r="J251" s="908"/>
    </row>
    <row r="252" spans="1:10" x14ac:dyDescent="0.2">
      <c r="A252" s="906"/>
      <c r="B252" s="907"/>
      <c r="C252" s="907"/>
      <c r="D252" s="907"/>
      <c r="E252" s="907"/>
      <c r="F252" s="907"/>
      <c r="G252" s="907"/>
      <c r="H252" s="907"/>
      <c r="I252" s="907"/>
      <c r="J252" s="908"/>
    </row>
    <row r="253" spans="1:10" x14ac:dyDescent="0.2">
      <c r="A253" s="906"/>
      <c r="B253" s="907"/>
      <c r="C253" s="907"/>
      <c r="D253" s="907"/>
      <c r="E253" s="907"/>
      <c r="F253" s="907"/>
      <c r="G253" s="907"/>
      <c r="H253" s="907"/>
      <c r="I253" s="907"/>
      <c r="J253" s="908"/>
    </row>
    <row r="254" spans="1:10" x14ac:dyDescent="0.2">
      <c r="A254" s="906"/>
      <c r="B254" s="907"/>
      <c r="C254" s="907"/>
      <c r="D254" s="907"/>
      <c r="E254" s="907"/>
      <c r="F254" s="907"/>
      <c r="G254" s="907"/>
      <c r="H254" s="907"/>
      <c r="I254" s="907"/>
      <c r="J254" s="908"/>
    </row>
    <row r="255" spans="1:10" x14ac:dyDescent="0.2">
      <c r="A255" s="906"/>
      <c r="B255" s="907"/>
      <c r="C255" s="907"/>
      <c r="D255" s="907"/>
      <c r="E255" s="907"/>
      <c r="F255" s="907"/>
      <c r="G255" s="907"/>
      <c r="H255" s="907"/>
      <c r="I255" s="907"/>
      <c r="J255" s="908"/>
    </row>
    <row r="256" spans="1:10" x14ac:dyDescent="0.2">
      <c r="A256" s="906"/>
      <c r="B256" s="907"/>
      <c r="C256" s="907"/>
      <c r="D256" s="907"/>
      <c r="E256" s="907"/>
      <c r="F256" s="907"/>
      <c r="G256" s="907"/>
      <c r="H256" s="907"/>
      <c r="I256" s="907"/>
      <c r="J256" s="908"/>
    </row>
    <row r="257" spans="1:10" x14ac:dyDescent="0.2">
      <c r="A257" s="906"/>
      <c r="B257" s="907"/>
      <c r="C257" s="907"/>
      <c r="D257" s="907"/>
      <c r="E257" s="907"/>
      <c r="F257" s="907"/>
      <c r="G257" s="907"/>
      <c r="H257" s="907"/>
      <c r="I257" s="907"/>
      <c r="J257" s="908"/>
    </row>
    <row r="258" spans="1:10" x14ac:dyDescent="0.2">
      <c r="A258" s="906"/>
      <c r="B258" s="907"/>
      <c r="C258" s="907"/>
      <c r="D258" s="907"/>
      <c r="E258" s="907"/>
      <c r="F258" s="907"/>
      <c r="G258" s="907"/>
      <c r="H258" s="907"/>
      <c r="I258" s="907"/>
      <c r="J258" s="908"/>
    </row>
    <row r="259" spans="1:10" x14ac:dyDescent="0.2">
      <c r="A259" s="906"/>
      <c r="B259" s="907"/>
      <c r="C259" s="907"/>
      <c r="D259" s="907"/>
      <c r="E259" s="907"/>
      <c r="F259" s="907"/>
      <c r="G259" s="907"/>
      <c r="H259" s="907"/>
      <c r="I259" s="907"/>
      <c r="J259" s="908"/>
    </row>
    <row r="260" spans="1:10" x14ac:dyDescent="0.2">
      <c r="A260" s="906"/>
      <c r="B260" s="907"/>
      <c r="C260" s="907"/>
      <c r="D260" s="907"/>
      <c r="E260" s="907"/>
      <c r="F260" s="907"/>
      <c r="G260" s="907"/>
      <c r="H260" s="907"/>
      <c r="I260" s="907"/>
      <c r="J260" s="908"/>
    </row>
    <row r="261" spans="1:10" x14ac:dyDescent="0.2">
      <c r="A261" s="906"/>
      <c r="B261" s="907"/>
      <c r="C261" s="907"/>
      <c r="D261" s="907"/>
      <c r="E261" s="907"/>
      <c r="F261" s="907"/>
      <c r="G261" s="907"/>
      <c r="H261" s="907"/>
      <c r="I261" s="907"/>
      <c r="J261" s="908"/>
    </row>
    <row r="262" spans="1:10" x14ac:dyDescent="0.2">
      <c r="A262" s="906"/>
      <c r="B262" s="907"/>
      <c r="C262" s="907"/>
      <c r="D262" s="907"/>
      <c r="E262" s="907"/>
      <c r="F262" s="907"/>
      <c r="G262" s="907"/>
      <c r="H262" s="907"/>
      <c r="I262" s="907"/>
      <c r="J262" s="908"/>
    </row>
    <row r="263" spans="1:10" x14ac:dyDescent="0.2">
      <c r="A263" s="906"/>
      <c r="B263" s="907"/>
      <c r="C263" s="907"/>
      <c r="D263" s="907"/>
      <c r="E263" s="907"/>
      <c r="F263" s="907"/>
      <c r="G263" s="907"/>
      <c r="H263" s="907"/>
      <c r="I263" s="907"/>
      <c r="J263" s="908"/>
    </row>
    <row r="264" spans="1:10" x14ac:dyDescent="0.2">
      <c r="A264" s="906"/>
      <c r="B264" s="907"/>
      <c r="C264" s="907"/>
      <c r="D264" s="907"/>
      <c r="E264" s="907"/>
      <c r="F264" s="907"/>
      <c r="G264" s="907"/>
      <c r="H264" s="907"/>
      <c r="I264" s="907"/>
      <c r="J264" s="908"/>
    </row>
    <row r="265" spans="1:10" x14ac:dyDescent="0.2">
      <c r="A265" s="906"/>
      <c r="B265" s="907"/>
      <c r="C265" s="907"/>
      <c r="D265" s="907"/>
      <c r="E265" s="907"/>
      <c r="F265" s="907"/>
      <c r="G265" s="907"/>
      <c r="H265" s="907"/>
      <c r="I265" s="907"/>
      <c r="J265" s="908"/>
    </row>
    <row r="266" spans="1:10" x14ac:dyDescent="0.2">
      <c r="A266" s="906"/>
      <c r="B266" s="907"/>
      <c r="C266" s="907"/>
      <c r="D266" s="907"/>
      <c r="E266" s="907"/>
      <c r="F266" s="907"/>
      <c r="G266" s="907"/>
      <c r="H266" s="907"/>
      <c r="I266" s="907"/>
      <c r="J266" s="908"/>
    </row>
    <row r="267" spans="1:10" x14ac:dyDescent="0.2">
      <c r="A267" s="906"/>
      <c r="B267" s="907"/>
      <c r="C267" s="907"/>
      <c r="D267" s="907"/>
      <c r="E267" s="907"/>
      <c r="F267" s="907"/>
      <c r="G267" s="907"/>
      <c r="H267" s="907"/>
      <c r="I267" s="907"/>
      <c r="J267" s="908"/>
    </row>
    <row r="268" spans="1:10" x14ac:dyDescent="0.2">
      <c r="A268" s="906"/>
      <c r="B268" s="907"/>
      <c r="C268" s="907"/>
      <c r="D268" s="907"/>
      <c r="E268" s="907"/>
      <c r="F268" s="907"/>
      <c r="G268" s="907"/>
      <c r="H268" s="907"/>
      <c r="I268" s="907"/>
      <c r="J268" s="908"/>
    </row>
    <row r="269" spans="1:10" x14ac:dyDescent="0.2">
      <c r="A269" s="906"/>
      <c r="B269" s="907"/>
      <c r="C269" s="907"/>
      <c r="D269" s="907"/>
      <c r="E269" s="907"/>
      <c r="F269" s="907"/>
      <c r="G269" s="907"/>
      <c r="H269" s="907"/>
      <c r="I269" s="907"/>
      <c r="J269" s="908"/>
    </row>
    <row r="270" spans="1:10" x14ac:dyDescent="0.2">
      <c r="A270" s="906"/>
      <c r="B270" s="907"/>
      <c r="C270" s="907"/>
      <c r="D270" s="907"/>
      <c r="E270" s="907"/>
      <c r="F270" s="907"/>
      <c r="G270" s="907"/>
      <c r="H270" s="907"/>
      <c r="I270" s="907"/>
      <c r="J270" s="908"/>
    </row>
    <row r="271" spans="1:10" x14ac:dyDescent="0.2">
      <c r="A271" s="906"/>
      <c r="B271" s="907"/>
      <c r="C271" s="907"/>
      <c r="D271" s="907"/>
      <c r="E271" s="907"/>
      <c r="F271" s="907"/>
      <c r="G271" s="907"/>
      <c r="H271" s="907"/>
      <c r="I271" s="907"/>
      <c r="J271" s="908"/>
    </row>
    <row r="272" spans="1:10" x14ac:dyDescent="0.2">
      <c r="A272" s="906"/>
      <c r="B272" s="907"/>
      <c r="C272" s="907"/>
      <c r="D272" s="907"/>
      <c r="E272" s="907"/>
      <c r="F272" s="907"/>
      <c r="G272" s="907"/>
      <c r="H272" s="907"/>
      <c r="I272" s="907"/>
      <c r="J272" s="908"/>
    </row>
    <row r="273" spans="1:10" x14ac:dyDescent="0.2">
      <c r="A273" s="906"/>
      <c r="B273" s="907"/>
      <c r="C273" s="907"/>
      <c r="D273" s="907"/>
      <c r="E273" s="907"/>
      <c r="F273" s="907"/>
      <c r="G273" s="907"/>
      <c r="H273" s="907"/>
      <c r="I273" s="907"/>
      <c r="J273" s="908"/>
    </row>
    <row r="274" spans="1:10" x14ac:dyDescent="0.2">
      <c r="A274" s="906"/>
      <c r="B274" s="907"/>
      <c r="C274" s="907"/>
      <c r="D274" s="907"/>
      <c r="E274" s="907"/>
      <c r="F274" s="907"/>
      <c r="G274" s="907"/>
      <c r="H274" s="907"/>
      <c r="I274" s="907"/>
      <c r="J274" s="908"/>
    </row>
    <row r="275" spans="1:10" x14ac:dyDescent="0.2">
      <c r="A275" s="906"/>
      <c r="B275" s="907"/>
      <c r="C275" s="907"/>
      <c r="D275" s="907"/>
      <c r="E275" s="907"/>
      <c r="F275" s="907"/>
      <c r="G275" s="907"/>
      <c r="H275" s="907"/>
      <c r="I275" s="907"/>
      <c r="J275" s="908"/>
    </row>
    <row r="276" spans="1:10" x14ac:dyDescent="0.2">
      <c r="A276" s="906"/>
      <c r="B276" s="907"/>
      <c r="C276" s="907"/>
      <c r="D276" s="907"/>
      <c r="E276" s="907"/>
      <c r="F276" s="907"/>
      <c r="G276" s="907"/>
      <c r="H276" s="907"/>
      <c r="I276" s="907"/>
      <c r="J276" s="908"/>
    </row>
    <row r="277" spans="1:10" x14ac:dyDescent="0.2">
      <c r="A277" s="906"/>
      <c r="B277" s="907"/>
      <c r="C277" s="907"/>
      <c r="D277" s="907"/>
      <c r="E277" s="907"/>
      <c r="F277" s="907"/>
      <c r="G277" s="907"/>
      <c r="H277" s="907"/>
      <c r="I277" s="907"/>
      <c r="J277" s="908"/>
    </row>
    <row r="278" spans="1:10" x14ac:dyDescent="0.2">
      <c r="A278" s="906"/>
      <c r="B278" s="907"/>
      <c r="C278" s="907"/>
      <c r="D278" s="907"/>
      <c r="E278" s="907"/>
      <c r="F278" s="907"/>
      <c r="G278" s="907"/>
      <c r="H278" s="907"/>
      <c r="I278" s="907"/>
      <c r="J278" s="908"/>
    </row>
    <row r="279" spans="1:10" x14ac:dyDescent="0.2">
      <c r="A279" s="906"/>
      <c r="B279" s="907"/>
      <c r="C279" s="907"/>
      <c r="D279" s="907"/>
      <c r="E279" s="907"/>
      <c r="F279" s="907"/>
      <c r="G279" s="907"/>
      <c r="H279" s="907"/>
      <c r="I279" s="907"/>
      <c r="J279" s="908"/>
    </row>
    <row r="280" spans="1:10" x14ac:dyDescent="0.2">
      <c r="A280" s="906"/>
      <c r="B280" s="907"/>
      <c r="C280" s="907"/>
      <c r="D280" s="907"/>
      <c r="E280" s="907"/>
      <c r="F280" s="907"/>
      <c r="G280" s="907"/>
      <c r="H280" s="907"/>
      <c r="I280" s="907"/>
      <c r="J280" s="908"/>
    </row>
    <row r="281" spans="1:10" x14ac:dyDescent="0.2">
      <c r="A281" s="906"/>
      <c r="B281" s="907"/>
      <c r="C281" s="907"/>
      <c r="D281" s="907"/>
      <c r="E281" s="907"/>
      <c r="F281" s="907"/>
      <c r="G281" s="907"/>
      <c r="H281" s="907"/>
      <c r="I281" s="907"/>
      <c r="J281" s="908"/>
    </row>
    <row r="282" spans="1:10" x14ac:dyDescent="0.2">
      <c r="A282" s="906"/>
      <c r="B282" s="907"/>
      <c r="C282" s="907"/>
      <c r="D282" s="907"/>
      <c r="E282" s="907"/>
      <c r="F282" s="907"/>
      <c r="G282" s="907"/>
      <c r="H282" s="907"/>
      <c r="I282" s="907"/>
      <c r="J282" s="908"/>
    </row>
    <row r="283" spans="1:10" x14ac:dyDescent="0.2">
      <c r="A283" s="906"/>
      <c r="B283" s="907"/>
      <c r="C283" s="907"/>
      <c r="D283" s="907"/>
      <c r="E283" s="907"/>
      <c r="F283" s="907"/>
      <c r="G283" s="907"/>
      <c r="H283" s="907"/>
      <c r="I283" s="907"/>
      <c r="J283" s="908"/>
    </row>
    <row r="284" spans="1:10" x14ac:dyDescent="0.2">
      <c r="A284" s="906"/>
      <c r="B284" s="907"/>
      <c r="C284" s="907"/>
      <c r="D284" s="907"/>
      <c r="E284" s="907"/>
      <c r="F284" s="907"/>
      <c r="G284" s="907"/>
      <c r="H284" s="907"/>
      <c r="I284" s="907"/>
      <c r="J284" s="908"/>
    </row>
    <row r="285" spans="1:10" x14ac:dyDescent="0.2">
      <c r="A285" s="906"/>
      <c r="B285" s="907"/>
      <c r="C285" s="907"/>
      <c r="D285" s="907"/>
      <c r="E285" s="907"/>
      <c r="F285" s="907"/>
      <c r="G285" s="907"/>
      <c r="H285" s="907"/>
      <c r="I285" s="907"/>
      <c r="J285" s="908"/>
    </row>
    <row r="286" spans="1:10" x14ac:dyDescent="0.2">
      <c r="A286" s="906"/>
      <c r="B286" s="907"/>
      <c r="C286" s="907"/>
      <c r="D286" s="907"/>
      <c r="E286" s="907"/>
      <c r="F286" s="907"/>
      <c r="G286" s="907"/>
      <c r="H286" s="907"/>
      <c r="I286" s="907"/>
      <c r="J286" s="908"/>
    </row>
    <row r="287" spans="1:10" x14ac:dyDescent="0.2">
      <c r="A287" s="906"/>
      <c r="B287" s="907"/>
      <c r="C287" s="907"/>
      <c r="D287" s="907"/>
      <c r="E287" s="907"/>
      <c r="F287" s="907"/>
      <c r="G287" s="907"/>
      <c r="H287" s="907"/>
      <c r="I287" s="907"/>
      <c r="J287" s="908"/>
    </row>
    <row r="288" spans="1:10" x14ac:dyDescent="0.2">
      <c r="A288" s="906"/>
      <c r="B288" s="907"/>
      <c r="C288" s="907"/>
      <c r="D288" s="907"/>
      <c r="E288" s="907"/>
      <c r="F288" s="907"/>
      <c r="G288" s="907"/>
      <c r="H288" s="907"/>
      <c r="I288" s="907"/>
      <c r="J288" s="908"/>
    </row>
    <row r="289" spans="1:10" x14ac:dyDescent="0.2">
      <c r="A289" s="906"/>
      <c r="B289" s="907"/>
      <c r="C289" s="907"/>
      <c r="D289" s="907"/>
      <c r="E289" s="907"/>
      <c r="F289" s="907"/>
      <c r="G289" s="907"/>
      <c r="H289" s="907"/>
      <c r="I289" s="907"/>
      <c r="J289" s="908"/>
    </row>
    <row r="290" spans="1:10" x14ac:dyDescent="0.2">
      <c r="A290" s="906"/>
      <c r="B290" s="907"/>
      <c r="C290" s="907"/>
      <c r="D290" s="907"/>
      <c r="E290" s="907"/>
      <c r="F290" s="907"/>
      <c r="G290" s="907"/>
      <c r="H290" s="907"/>
      <c r="I290" s="907"/>
      <c r="J290" s="908"/>
    </row>
    <row r="291" spans="1:10" x14ac:dyDescent="0.2">
      <c r="A291" s="906"/>
      <c r="B291" s="907"/>
      <c r="C291" s="907"/>
      <c r="D291" s="907"/>
      <c r="E291" s="907"/>
      <c r="F291" s="907"/>
      <c r="G291" s="907"/>
      <c r="H291" s="907"/>
      <c r="I291" s="907"/>
      <c r="J291" s="908"/>
    </row>
    <row r="292" spans="1:10" x14ac:dyDescent="0.2">
      <c r="A292" s="906"/>
      <c r="B292" s="907"/>
      <c r="C292" s="907"/>
      <c r="D292" s="907"/>
      <c r="E292" s="907"/>
      <c r="F292" s="907"/>
      <c r="G292" s="907"/>
      <c r="H292" s="907"/>
      <c r="I292" s="907"/>
      <c r="J292" s="908"/>
    </row>
    <row r="293" spans="1:10" x14ac:dyDescent="0.2">
      <c r="A293" s="906"/>
      <c r="B293" s="907"/>
      <c r="C293" s="907"/>
      <c r="D293" s="907"/>
      <c r="E293" s="907"/>
      <c r="F293" s="907"/>
      <c r="G293" s="907"/>
      <c r="H293" s="907"/>
      <c r="I293" s="907"/>
      <c r="J293" s="908"/>
    </row>
    <row r="294" spans="1:10" x14ac:dyDescent="0.2">
      <c r="A294" s="906"/>
      <c r="B294" s="907"/>
      <c r="C294" s="907"/>
      <c r="D294" s="907"/>
      <c r="E294" s="907"/>
      <c r="F294" s="907"/>
      <c r="G294" s="907"/>
      <c r="H294" s="907"/>
      <c r="I294" s="907"/>
      <c r="J294" s="908"/>
    </row>
    <row r="295" spans="1:10" x14ac:dyDescent="0.2">
      <c r="A295" s="906"/>
      <c r="B295" s="907"/>
      <c r="C295" s="907"/>
      <c r="D295" s="907"/>
      <c r="E295" s="907"/>
      <c r="F295" s="907"/>
      <c r="G295" s="907"/>
      <c r="H295" s="907"/>
      <c r="I295" s="907"/>
      <c r="J295" s="908"/>
    </row>
    <row r="296" spans="1:10" x14ac:dyDescent="0.2">
      <c r="A296" s="906"/>
      <c r="B296" s="907"/>
      <c r="C296" s="907"/>
      <c r="D296" s="907"/>
      <c r="E296" s="907"/>
      <c r="F296" s="907"/>
      <c r="G296" s="907"/>
      <c r="H296" s="907"/>
      <c r="I296" s="907"/>
      <c r="J296" s="908"/>
    </row>
    <row r="297" spans="1:10" x14ac:dyDescent="0.2">
      <c r="A297" s="906"/>
      <c r="B297" s="907"/>
      <c r="C297" s="907"/>
      <c r="D297" s="907"/>
      <c r="E297" s="907"/>
      <c r="F297" s="907"/>
      <c r="G297" s="907"/>
      <c r="H297" s="907"/>
      <c r="I297" s="907"/>
      <c r="J297" s="908"/>
    </row>
    <row r="298" spans="1:10" x14ac:dyDescent="0.2">
      <c r="A298" s="906"/>
      <c r="B298" s="907"/>
      <c r="C298" s="907"/>
      <c r="D298" s="907"/>
      <c r="E298" s="907"/>
      <c r="F298" s="907"/>
      <c r="G298" s="907"/>
      <c r="H298" s="907"/>
      <c r="I298" s="907"/>
      <c r="J298" s="908"/>
    </row>
    <row r="299" spans="1:10" x14ac:dyDescent="0.2">
      <c r="A299" s="906"/>
      <c r="B299" s="907"/>
      <c r="C299" s="907"/>
      <c r="D299" s="907"/>
      <c r="E299" s="907"/>
      <c r="F299" s="907"/>
      <c r="G299" s="907"/>
      <c r="H299" s="907"/>
      <c r="I299" s="907"/>
      <c r="J299" s="908"/>
    </row>
    <row r="300" spans="1:10" x14ac:dyDescent="0.2">
      <c r="A300" s="906"/>
      <c r="B300" s="907"/>
      <c r="C300" s="907"/>
      <c r="D300" s="907"/>
      <c r="E300" s="907"/>
      <c r="F300" s="907"/>
      <c r="G300" s="907"/>
      <c r="H300" s="907"/>
      <c r="I300" s="907"/>
      <c r="J300" s="908"/>
    </row>
    <row r="301" spans="1:10" x14ac:dyDescent="0.2">
      <c r="A301" s="906"/>
      <c r="B301" s="907"/>
      <c r="C301" s="907"/>
      <c r="D301" s="907"/>
      <c r="E301" s="907"/>
      <c r="F301" s="907"/>
      <c r="G301" s="907"/>
      <c r="H301" s="907"/>
      <c r="I301" s="907"/>
      <c r="J301" s="908"/>
    </row>
    <row r="302" spans="1:10" x14ac:dyDescent="0.2">
      <c r="A302" s="906"/>
      <c r="B302" s="907"/>
      <c r="C302" s="907"/>
      <c r="D302" s="907"/>
      <c r="E302" s="907"/>
      <c r="F302" s="907"/>
      <c r="G302" s="907"/>
      <c r="H302" s="907"/>
      <c r="I302" s="907"/>
      <c r="J302" s="908"/>
    </row>
    <row r="303" spans="1:10" x14ac:dyDescent="0.2">
      <c r="A303" s="906"/>
      <c r="B303" s="907"/>
      <c r="C303" s="907"/>
      <c r="D303" s="907"/>
      <c r="E303" s="907"/>
      <c r="F303" s="907"/>
      <c r="G303" s="907"/>
      <c r="H303" s="907"/>
      <c r="I303" s="907"/>
      <c r="J303" s="908"/>
    </row>
    <row r="304" spans="1:10" x14ac:dyDescent="0.2">
      <c r="A304" s="906"/>
      <c r="B304" s="907"/>
      <c r="C304" s="907"/>
      <c r="D304" s="907"/>
      <c r="E304" s="907"/>
      <c r="F304" s="907"/>
      <c r="G304" s="907"/>
      <c r="H304" s="907"/>
      <c r="I304" s="907"/>
      <c r="J304" s="908"/>
    </row>
    <row r="305" spans="1:10" x14ac:dyDescent="0.2">
      <c r="A305" s="906"/>
      <c r="B305" s="907"/>
      <c r="C305" s="907"/>
      <c r="D305" s="907"/>
      <c r="E305" s="907"/>
      <c r="F305" s="907"/>
      <c r="G305" s="907"/>
      <c r="H305" s="907"/>
      <c r="I305" s="907"/>
      <c r="J305" s="908"/>
    </row>
    <row r="306" spans="1:10" x14ac:dyDescent="0.2">
      <c r="A306" s="906"/>
      <c r="B306" s="907"/>
      <c r="C306" s="907"/>
      <c r="D306" s="907"/>
      <c r="E306" s="907"/>
      <c r="F306" s="907"/>
      <c r="G306" s="907"/>
      <c r="H306" s="907"/>
      <c r="I306" s="907"/>
      <c r="J306" s="908"/>
    </row>
    <row r="307" spans="1:10" x14ac:dyDescent="0.2">
      <c r="A307" s="906"/>
      <c r="B307" s="907"/>
      <c r="C307" s="907"/>
      <c r="D307" s="907"/>
      <c r="E307" s="907"/>
      <c r="F307" s="907"/>
      <c r="G307" s="907"/>
      <c r="H307" s="907"/>
      <c r="I307" s="907"/>
      <c r="J307" s="908"/>
    </row>
    <row r="308" spans="1:10" x14ac:dyDescent="0.2">
      <c r="A308" s="906"/>
      <c r="B308" s="907"/>
      <c r="C308" s="907"/>
      <c r="D308" s="907"/>
      <c r="E308" s="907"/>
      <c r="F308" s="907"/>
      <c r="G308" s="907"/>
      <c r="H308" s="907"/>
      <c r="I308" s="907"/>
      <c r="J308" s="908"/>
    </row>
    <row r="309" spans="1:10" x14ac:dyDescent="0.2">
      <c r="A309" s="906"/>
      <c r="B309" s="907"/>
      <c r="C309" s="907"/>
      <c r="D309" s="907"/>
      <c r="E309" s="907"/>
      <c r="F309" s="907"/>
      <c r="G309" s="907"/>
      <c r="H309" s="907"/>
      <c r="I309" s="907"/>
      <c r="J309" s="908"/>
    </row>
    <row r="310" spans="1:10" x14ac:dyDescent="0.2">
      <c r="A310" s="906"/>
      <c r="B310" s="907"/>
      <c r="C310" s="907"/>
      <c r="D310" s="907"/>
      <c r="E310" s="907"/>
      <c r="F310" s="907"/>
      <c r="G310" s="907"/>
      <c r="H310" s="907"/>
      <c r="I310" s="907"/>
      <c r="J310" s="908"/>
    </row>
    <row r="311" spans="1:10" x14ac:dyDescent="0.2">
      <c r="A311" s="906"/>
      <c r="B311" s="907"/>
      <c r="C311" s="907"/>
      <c r="D311" s="907"/>
      <c r="E311" s="907"/>
      <c r="F311" s="907"/>
      <c r="G311" s="907"/>
      <c r="H311" s="907"/>
      <c r="I311" s="907"/>
      <c r="J311" s="908"/>
    </row>
    <row r="312" spans="1:10" x14ac:dyDescent="0.2">
      <c r="A312" s="906"/>
      <c r="B312" s="907"/>
      <c r="C312" s="907"/>
      <c r="D312" s="907"/>
      <c r="E312" s="907"/>
      <c r="F312" s="907"/>
      <c r="G312" s="907"/>
      <c r="H312" s="907"/>
      <c r="I312" s="907"/>
      <c r="J312" s="908"/>
    </row>
    <row r="313" spans="1:10" x14ac:dyDescent="0.2">
      <c r="A313" s="906"/>
      <c r="B313" s="907"/>
      <c r="C313" s="907"/>
      <c r="D313" s="907"/>
      <c r="E313" s="907"/>
      <c r="F313" s="907"/>
      <c r="G313" s="907"/>
      <c r="H313" s="907"/>
      <c r="I313" s="907"/>
      <c r="J313" s="908"/>
    </row>
    <row r="314" spans="1:10" x14ac:dyDescent="0.2">
      <c r="A314" s="906"/>
      <c r="B314" s="907"/>
      <c r="C314" s="907"/>
      <c r="D314" s="907"/>
      <c r="E314" s="907"/>
      <c r="F314" s="907"/>
      <c r="G314" s="907"/>
      <c r="H314" s="907"/>
      <c r="I314" s="907"/>
      <c r="J314" s="908"/>
    </row>
    <row r="315" spans="1:10" x14ac:dyDescent="0.2">
      <c r="A315" s="906"/>
      <c r="B315" s="907"/>
      <c r="C315" s="907"/>
      <c r="D315" s="907"/>
      <c r="E315" s="907"/>
      <c r="F315" s="907"/>
      <c r="G315" s="907"/>
      <c r="H315" s="907"/>
      <c r="I315" s="907"/>
      <c r="J315" s="908"/>
    </row>
    <row r="316" spans="1:10" x14ac:dyDescent="0.2">
      <c r="A316" s="906"/>
      <c r="B316" s="907"/>
      <c r="C316" s="907"/>
      <c r="D316" s="907"/>
      <c r="E316" s="907"/>
      <c r="F316" s="907"/>
      <c r="G316" s="907"/>
      <c r="H316" s="907"/>
      <c r="I316" s="907"/>
      <c r="J316" s="908"/>
    </row>
    <row r="317" spans="1:10" x14ac:dyDescent="0.2">
      <c r="A317" s="906"/>
      <c r="B317" s="907"/>
      <c r="C317" s="907"/>
      <c r="D317" s="907"/>
      <c r="E317" s="907"/>
      <c r="F317" s="907"/>
      <c r="G317" s="907"/>
      <c r="H317" s="907"/>
      <c r="I317" s="907"/>
      <c r="J317" s="908"/>
    </row>
    <row r="318" spans="1:10" x14ac:dyDescent="0.2">
      <c r="A318" s="906"/>
      <c r="B318" s="907"/>
      <c r="C318" s="907"/>
      <c r="D318" s="907"/>
      <c r="E318" s="907"/>
      <c r="F318" s="907"/>
      <c r="G318" s="907"/>
      <c r="H318" s="907"/>
      <c r="I318" s="907"/>
      <c r="J318" s="908"/>
    </row>
    <row r="319" spans="1:10" x14ac:dyDescent="0.2">
      <c r="A319" s="906"/>
      <c r="B319" s="907"/>
      <c r="C319" s="907"/>
      <c r="D319" s="907"/>
      <c r="E319" s="907"/>
      <c r="F319" s="907"/>
      <c r="G319" s="907"/>
      <c r="H319" s="907"/>
      <c r="I319" s="907"/>
      <c r="J319" s="908"/>
    </row>
    <row r="320" spans="1:10" x14ac:dyDescent="0.2">
      <c r="A320" s="906"/>
      <c r="B320" s="907"/>
      <c r="C320" s="907"/>
      <c r="D320" s="907"/>
      <c r="E320" s="907"/>
      <c r="F320" s="907"/>
      <c r="G320" s="907"/>
      <c r="H320" s="907"/>
      <c r="I320" s="907"/>
      <c r="J320" s="908"/>
    </row>
    <row r="321" spans="1:10" x14ac:dyDescent="0.2">
      <c r="A321" s="906"/>
      <c r="B321" s="907"/>
      <c r="C321" s="907"/>
      <c r="D321" s="907"/>
      <c r="E321" s="907"/>
      <c r="F321" s="907"/>
      <c r="G321" s="907"/>
      <c r="H321" s="907"/>
      <c r="I321" s="907"/>
      <c r="J321" s="908"/>
    </row>
    <row r="322" spans="1:10" x14ac:dyDescent="0.2">
      <c r="A322" s="906"/>
      <c r="B322" s="907"/>
      <c r="C322" s="907"/>
      <c r="D322" s="907"/>
      <c r="E322" s="907"/>
      <c r="F322" s="907"/>
      <c r="G322" s="907"/>
      <c r="H322" s="907"/>
      <c r="I322" s="907"/>
      <c r="J322" s="908"/>
    </row>
    <row r="323" spans="1:10" x14ac:dyDescent="0.2">
      <c r="A323" s="906"/>
      <c r="B323" s="907"/>
      <c r="C323" s="907"/>
      <c r="D323" s="907"/>
      <c r="E323" s="907"/>
      <c r="F323" s="907"/>
      <c r="G323" s="907"/>
      <c r="H323" s="907"/>
      <c r="I323" s="907"/>
      <c r="J323" s="908"/>
    </row>
    <row r="324" spans="1:10" x14ac:dyDescent="0.2">
      <c r="A324" s="906"/>
      <c r="B324" s="907"/>
      <c r="C324" s="907"/>
      <c r="D324" s="907"/>
      <c r="E324" s="907"/>
      <c r="F324" s="907"/>
      <c r="G324" s="907"/>
      <c r="H324" s="907"/>
      <c r="I324" s="907"/>
      <c r="J324" s="908"/>
    </row>
    <row r="325" spans="1:10" x14ac:dyDescent="0.2">
      <c r="A325" s="906"/>
      <c r="B325" s="907"/>
      <c r="C325" s="907"/>
      <c r="D325" s="907"/>
      <c r="E325" s="907"/>
      <c r="F325" s="907"/>
      <c r="G325" s="907"/>
      <c r="H325" s="907"/>
      <c r="I325" s="907"/>
      <c r="J325" s="908"/>
    </row>
    <row r="326" spans="1:10" x14ac:dyDescent="0.2">
      <c r="A326" s="906"/>
      <c r="B326" s="907"/>
      <c r="C326" s="907"/>
      <c r="D326" s="907"/>
      <c r="E326" s="907"/>
      <c r="F326" s="907"/>
      <c r="G326" s="907"/>
      <c r="H326" s="907"/>
      <c r="I326" s="907"/>
      <c r="J326" s="908"/>
    </row>
    <row r="327" spans="1:10" x14ac:dyDescent="0.2">
      <c r="A327" s="906"/>
      <c r="B327" s="907"/>
      <c r="C327" s="907"/>
      <c r="D327" s="907"/>
      <c r="E327" s="907"/>
      <c r="F327" s="907"/>
      <c r="G327" s="907"/>
      <c r="H327" s="907"/>
      <c r="I327" s="907"/>
      <c r="J327" s="908"/>
    </row>
    <row r="328" spans="1:10" x14ac:dyDescent="0.2">
      <c r="A328" s="906"/>
      <c r="B328" s="907"/>
      <c r="C328" s="907"/>
      <c r="D328" s="907"/>
      <c r="E328" s="907"/>
      <c r="F328" s="907"/>
      <c r="G328" s="907"/>
      <c r="H328" s="907"/>
      <c r="I328" s="907"/>
      <c r="J328" s="908"/>
    </row>
    <row r="329" spans="1:10" x14ac:dyDescent="0.2">
      <c r="A329" s="906"/>
      <c r="B329" s="907"/>
      <c r="C329" s="907"/>
      <c r="D329" s="907"/>
      <c r="E329" s="907"/>
      <c r="F329" s="907"/>
      <c r="G329" s="907"/>
      <c r="H329" s="907"/>
      <c r="I329" s="907"/>
      <c r="J329" s="908"/>
    </row>
    <row r="330" spans="1:10" x14ac:dyDescent="0.2">
      <c r="A330" s="906"/>
      <c r="B330" s="907"/>
      <c r="C330" s="907"/>
      <c r="D330" s="907"/>
      <c r="E330" s="907"/>
      <c r="F330" s="907"/>
      <c r="G330" s="907"/>
      <c r="H330" s="907"/>
      <c r="I330" s="907"/>
      <c r="J330" s="908"/>
    </row>
    <row r="331" spans="1:10" x14ac:dyDescent="0.2">
      <c r="A331" s="906"/>
      <c r="B331" s="907"/>
      <c r="C331" s="907"/>
      <c r="D331" s="907"/>
      <c r="E331" s="907"/>
      <c r="F331" s="907"/>
      <c r="G331" s="907"/>
      <c r="H331" s="907"/>
      <c r="I331" s="907"/>
      <c r="J331" s="908"/>
    </row>
    <row r="332" spans="1:10" x14ac:dyDescent="0.2">
      <c r="A332" s="906"/>
      <c r="B332" s="907"/>
      <c r="C332" s="907"/>
      <c r="D332" s="907"/>
      <c r="E332" s="907"/>
      <c r="F332" s="907"/>
      <c r="G332" s="907"/>
      <c r="H332" s="907"/>
      <c r="I332" s="907"/>
      <c r="J332" s="908"/>
    </row>
    <row r="333" spans="1:10" x14ac:dyDescent="0.2">
      <c r="A333" s="906"/>
      <c r="B333" s="907"/>
      <c r="C333" s="907"/>
      <c r="D333" s="907"/>
      <c r="E333" s="907"/>
      <c r="F333" s="907"/>
      <c r="G333" s="907"/>
      <c r="H333" s="907"/>
      <c r="I333" s="907"/>
      <c r="J333" s="908"/>
    </row>
    <row r="334" spans="1:10" x14ac:dyDescent="0.2">
      <c r="A334" s="906"/>
      <c r="B334" s="907"/>
      <c r="C334" s="907"/>
      <c r="D334" s="907"/>
      <c r="E334" s="907"/>
      <c r="F334" s="907"/>
      <c r="G334" s="907"/>
      <c r="H334" s="907"/>
      <c r="I334" s="907"/>
      <c r="J334" s="908"/>
    </row>
    <row r="335" spans="1:10" x14ac:dyDescent="0.2">
      <c r="A335" s="906"/>
      <c r="B335" s="907"/>
      <c r="C335" s="907"/>
      <c r="D335" s="907"/>
      <c r="E335" s="907"/>
      <c r="F335" s="907"/>
      <c r="G335" s="907"/>
      <c r="H335" s="907"/>
      <c r="I335" s="907"/>
      <c r="J335" s="908"/>
    </row>
    <row r="336" spans="1:10" x14ac:dyDescent="0.2">
      <c r="A336" s="906"/>
      <c r="B336" s="907"/>
      <c r="C336" s="907"/>
      <c r="D336" s="907"/>
      <c r="E336" s="907"/>
      <c r="F336" s="907"/>
      <c r="G336" s="907"/>
      <c r="H336" s="907"/>
      <c r="I336" s="907"/>
      <c r="J336" s="908"/>
    </row>
    <row r="337" spans="1:10" x14ac:dyDescent="0.2">
      <c r="A337" s="906"/>
      <c r="B337" s="907"/>
      <c r="C337" s="907"/>
      <c r="D337" s="907"/>
      <c r="E337" s="907"/>
      <c r="F337" s="907"/>
      <c r="G337" s="907"/>
      <c r="H337" s="907"/>
      <c r="I337" s="907"/>
      <c r="J337" s="908"/>
    </row>
    <row r="338" spans="1:10" x14ac:dyDescent="0.2">
      <c r="A338" s="906"/>
      <c r="B338" s="907"/>
      <c r="C338" s="907"/>
      <c r="D338" s="907"/>
      <c r="E338" s="907"/>
      <c r="F338" s="907"/>
      <c r="G338" s="907"/>
      <c r="H338" s="907"/>
      <c r="I338" s="907"/>
      <c r="J338" s="908"/>
    </row>
    <row r="339" spans="1:10" x14ac:dyDescent="0.2">
      <c r="A339" s="906"/>
      <c r="B339" s="907"/>
      <c r="C339" s="907"/>
      <c r="D339" s="907"/>
      <c r="E339" s="907"/>
      <c r="F339" s="907"/>
      <c r="G339" s="907"/>
      <c r="H339" s="907"/>
      <c r="I339" s="907"/>
      <c r="J339" s="908"/>
    </row>
    <row r="340" spans="1:10" x14ac:dyDescent="0.2">
      <c r="A340" s="906"/>
      <c r="B340" s="907"/>
      <c r="C340" s="907"/>
      <c r="D340" s="907"/>
      <c r="E340" s="907"/>
      <c r="F340" s="907"/>
      <c r="G340" s="907"/>
      <c r="H340" s="907"/>
      <c r="I340" s="907"/>
      <c r="J340" s="908"/>
    </row>
    <row r="341" spans="1:10" x14ac:dyDescent="0.2">
      <c r="A341" s="906"/>
      <c r="B341" s="907"/>
      <c r="C341" s="907"/>
      <c r="D341" s="907"/>
      <c r="E341" s="907"/>
      <c r="F341" s="907"/>
      <c r="G341" s="907"/>
      <c r="H341" s="907"/>
      <c r="I341" s="907"/>
      <c r="J341" s="908"/>
    </row>
    <row r="342" spans="1:10" x14ac:dyDescent="0.2">
      <c r="A342" s="906"/>
      <c r="B342" s="907"/>
      <c r="C342" s="907"/>
      <c r="D342" s="907"/>
      <c r="E342" s="907"/>
      <c r="F342" s="907"/>
      <c r="G342" s="907"/>
      <c r="H342" s="907"/>
      <c r="I342" s="907"/>
      <c r="J342" s="908"/>
    </row>
    <row r="343" spans="1:10" x14ac:dyDescent="0.2">
      <c r="A343" s="906"/>
      <c r="B343" s="907"/>
      <c r="C343" s="907"/>
      <c r="D343" s="907"/>
      <c r="E343" s="907"/>
      <c r="F343" s="907"/>
      <c r="G343" s="907"/>
      <c r="H343" s="907"/>
      <c r="I343" s="907"/>
      <c r="J343" s="908"/>
    </row>
    <row r="344" spans="1:10" x14ac:dyDescent="0.2">
      <c r="A344" s="906"/>
      <c r="B344" s="907"/>
      <c r="C344" s="907"/>
      <c r="D344" s="907"/>
      <c r="E344" s="907"/>
      <c r="F344" s="907"/>
      <c r="G344" s="907"/>
      <c r="H344" s="907"/>
      <c r="I344" s="907"/>
      <c r="J344" s="908"/>
    </row>
    <row r="345" spans="1:10" x14ac:dyDescent="0.2">
      <c r="A345" s="906"/>
      <c r="B345" s="907"/>
      <c r="C345" s="907"/>
      <c r="D345" s="907"/>
      <c r="E345" s="907"/>
      <c r="F345" s="907"/>
      <c r="G345" s="907"/>
      <c r="H345" s="907"/>
      <c r="I345" s="907"/>
      <c r="J345" s="908"/>
    </row>
    <row r="346" spans="1:10" x14ac:dyDescent="0.2">
      <c r="A346" s="906"/>
      <c r="B346" s="907"/>
      <c r="C346" s="907"/>
      <c r="D346" s="907"/>
      <c r="E346" s="907"/>
      <c r="F346" s="907"/>
      <c r="G346" s="907"/>
      <c r="H346" s="907"/>
      <c r="I346" s="907"/>
      <c r="J346" s="908"/>
    </row>
    <row r="347" spans="1:10" x14ac:dyDescent="0.2">
      <c r="A347" s="906"/>
      <c r="B347" s="907"/>
      <c r="C347" s="907"/>
      <c r="D347" s="907"/>
      <c r="E347" s="907"/>
      <c r="F347" s="907"/>
      <c r="G347" s="907"/>
      <c r="H347" s="907"/>
      <c r="I347" s="907"/>
      <c r="J347" s="908"/>
    </row>
    <row r="348" spans="1:10" x14ac:dyDescent="0.2">
      <c r="A348" s="906"/>
      <c r="B348" s="907"/>
      <c r="C348" s="907"/>
      <c r="D348" s="907"/>
      <c r="E348" s="907"/>
      <c r="F348" s="907"/>
      <c r="G348" s="907"/>
      <c r="H348" s="907"/>
      <c r="I348" s="907"/>
      <c r="J348" s="908"/>
    </row>
    <row r="349" spans="1:10" x14ac:dyDescent="0.2">
      <c r="A349" s="906"/>
      <c r="B349" s="907"/>
      <c r="C349" s="907"/>
      <c r="D349" s="907"/>
      <c r="E349" s="907"/>
      <c r="F349" s="907"/>
      <c r="G349" s="907"/>
      <c r="H349" s="907"/>
      <c r="I349" s="907"/>
      <c r="J349" s="908"/>
    </row>
    <row r="350" spans="1:10" x14ac:dyDescent="0.2">
      <c r="A350" s="906"/>
      <c r="B350" s="907"/>
      <c r="C350" s="907"/>
      <c r="D350" s="907"/>
      <c r="E350" s="907"/>
      <c r="F350" s="907"/>
      <c r="G350" s="907"/>
      <c r="H350" s="907"/>
      <c r="I350" s="907"/>
      <c r="J350" s="908"/>
    </row>
    <row r="351" spans="1:10" x14ac:dyDescent="0.2">
      <c r="A351" s="906"/>
      <c r="B351" s="907"/>
      <c r="C351" s="907"/>
      <c r="D351" s="907"/>
      <c r="E351" s="907"/>
      <c r="F351" s="907"/>
      <c r="G351" s="907"/>
      <c r="H351" s="907"/>
      <c r="I351" s="907"/>
      <c r="J351" s="908"/>
    </row>
    <row r="352" spans="1:10" x14ac:dyDescent="0.2">
      <c r="A352" s="906"/>
      <c r="B352" s="907"/>
      <c r="C352" s="907"/>
      <c r="D352" s="907"/>
      <c r="E352" s="907"/>
      <c r="F352" s="907"/>
      <c r="G352" s="907"/>
      <c r="H352" s="907"/>
      <c r="I352" s="907"/>
      <c r="J352" s="908"/>
    </row>
    <row r="353" spans="1:10" x14ac:dyDescent="0.2">
      <c r="A353" s="906"/>
      <c r="B353" s="907"/>
      <c r="C353" s="907"/>
      <c r="D353" s="907"/>
      <c r="E353" s="907"/>
      <c r="F353" s="907"/>
      <c r="G353" s="907"/>
      <c r="H353" s="907"/>
      <c r="I353" s="907"/>
      <c r="J353" s="908"/>
    </row>
    <row r="354" spans="1:10" x14ac:dyDescent="0.2">
      <c r="A354" s="906"/>
      <c r="B354" s="907"/>
      <c r="C354" s="907"/>
      <c r="D354" s="907"/>
      <c r="E354" s="907"/>
      <c r="F354" s="907"/>
      <c r="G354" s="907"/>
      <c r="H354" s="907"/>
      <c r="I354" s="907"/>
      <c r="J354" s="908"/>
    </row>
    <row r="355" spans="1:10" x14ac:dyDescent="0.2">
      <c r="A355" s="906"/>
      <c r="B355" s="907"/>
      <c r="C355" s="907"/>
      <c r="D355" s="907"/>
      <c r="E355" s="907"/>
      <c r="F355" s="907"/>
      <c r="G355" s="907"/>
      <c r="H355" s="907"/>
      <c r="I355" s="907"/>
      <c r="J355" s="908"/>
    </row>
    <row r="356" spans="1:10" x14ac:dyDescent="0.2">
      <c r="A356" s="906"/>
      <c r="B356" s="907"/>
      <c r="C356" s="907"/>
      <c r="D356" s="907"/>
      <c r="E356" s="907"/>
      <c r="F356" s="907"/>
      <c r="G356" s="907"/>
      <c r="H356" s="907"/>
      <c r="I356" s="907"/>
      <c r="J356" s="908"/>
    </row>
    <row r="357" spans="1:10" x14ac:dyDescent="0.2">
      <c r="A357" s="906"/>
      <c r="B357" s="907"/>
      <c r="C357" s="907"/>
      <c r="D357" s="907"/>
      <c r="E357" s="907"/>
      <c r="F357" s="907"/>
      <c r="G357" s="907"/>
      <c r="H357" s="907"/>
      <c r="I357" s="907"/>
      <c r="J357" s="908"/>
    </row>
    <row r="358" spans="1:10" x14ac:dyDescent="0.2">
      <c r="A358" s="906"/>
      <c r="B358" s="907"/>
      <c r="C358" s="907"/>
      <c r="D358" s="907"/>
      <c r="E358" s="907"/>
      <c r="F358" s="907"/>
      <c r="G358" s="907"/>
      <c r="H358" s="907"/>
      <c r="I358" s="907"/>
      <c r="J358" s="908"/>
    </row>
    <row r="359" spans="1:10" x14ac:dyDescent="0.2">
      <c r="A359" s="906"/>
      <c r="B359" s="907"/>
      <c r="C359" s="907"/>
      <c r="D359" s="907"/>
      <c r="E359" s="907"/>
      <c r="F359" s="907"/>
      <c r="G359" s="907"/>
      <c r="H359" s="907"/>
      <c r="I359" s="907"/>
      <c r="J359" s="908"/>
    </row>
    <row r="360" spans="1:10" x14ac:dyDescent="0.2">
      <c r="A360" s="906"/>
      <c r="B360" s="907"/>
      <c r="C360" s="907"/>
      <c r="D360" s="907"/>
      <c r="E360" s="907"/>
      <c r="F360" s="907"/>
      <c r="G360" s="907"/>
      <c r="H360" s="907"/>
      <c r="I360" s="907"/>
      <c r="J360" s="908"/>
    </row>
    <row r="361" spans="1:10" x14ac:dyDescent="0.2">
      <c r="A361" s="906"/>
      <c r="B361" s="907"/>
      <c r="C361" s="907"/>
      <c r="D361" s="907"/>
      <c r="E361" s="907"/>
      <c r="F361" s="907"/>
      <c r="G361" s="907"/>
      <c r="H361" s="907"/>
      <c r="I361" s="907"/>
      <c r="J361" s="908"/>
    </row>
    <row r="362" spans="1:10" x14ac:dyDescent="0.2">
      <c r="A362" s="906"/>
      <c r="B362" s="907"/>
      <c r="C362" s="907"/>
      <c r="D362" s="907"/>
      <c r="E362" s="907"/>
      <c r="F362" s="907"/>
      <c r="G362" s="907"/>
      <c r="H362" s="907"/>
      <c r="I362" s="907"/>
      <c r="J362" s="908"/>
    </row>
    <row r="363" spans="1:10" x14ac:dyDescent="0.2">
      <c r="A363" s="906"/>
      <c r="B363" s="907"/>
      <c r="C363" s="907"/>
      <c r="D363" s="907"/>
      <c r="E363" s="907"/>
      <c r="F363" s="907"/>
      <c r="G363" s="907"/>
      <c r="H363" s="907"/>
      <c r="I363" s="907"/>
      <c r="J363" s="908"/>
    </row>
    <row r="364" spans="1:10" x14ac:dyDescent="0.2">
      <c r="A364" s="906"/>
      <c r="B364" s="907"/>
      <c r="C364" s="907"/>
      <c r="D364" s="907"/>
      <c r="E364" s="907"/>
      <c r="F364" s="907"/>
      <c r="G364" s="907"/>
      <c r="H364" s="907"/>
      <c r="I364" s="907"/>
      <c r="J364" s="908"/>
    </row>
    <row r="365" spans="1:10" x14ac:dyDescent="0.2">
      <c r="A365" s="906"/>
      <c r="B365" s="907"/>
      <c r="C365" s="907"/>
      <c r="D365" s="907"/>
      <c r="E365" s="907"/>
      <c r="F365" s="907"/>
      <c r="G365" s="907"/>
      <c r="H365" s="907"/>
      <c r="I365" s="907"/>
      <c r="J365" s="908"/>
    </row>
    <row r="366" spans="1:10" x14ac:dyDescent="0.2">
      <c r="A366" s="906"/>
      <c r="B366" s="907"/>
      <c r="C366" s="907"/>
      <c r="D366" s="907"/>
      <c r="E366" s="907"/>
      <c r="F366" s="907"/>
      <c r="G366" s="907"/>
      <c r="H366" s="907"/>
      <c r="I366" s="907"/>
      <c r="J366" s="908"/>
    </row>
    <row r="367" spans="1:10" x14ac:dyDescent="0.2">
      <c r="A367" s="906"/>
      <c r="B367" s="907"/>
      <c r="C367" s="907"/>
      <c r="D367" s="907"/>
      <c r="E367" s="907"/>
      <c r="F367" s="907"/>
      <c r="G367" s="907"/>
      <c r="H367" s="907"/>
      <c r="I367" s="907"/>
      <c r="J367" s="908"/>
    </row>
    <row r="368" spans="1:10" x14ac:dyDescent="0.2">
      <c r="A368" s="906"/>
      <c r="B368" s="907"/>
      <c r="C368" s="907"/>
      <c r="D368" s="907"/>
      <c r="E368" s="907"/>
      <c r="F368" s="907"/>
      <c r="G368" s="907"/>
      <c r="H368" s="907"/>
      <c r="I368" s="907"/>
      <c r="J368" s="908"/>
    </row>
    <row r="369" spans="1:10" x14ac:dyDescent="0.2">
      <c r="A369" s="906"/>
      <c r="B369" s="907"/>
      <c r="C369" s="907"/>
      <c r="D369" s="907"/>
      <c r="E369" s="907"/>
      <c r="F369" s="907"/>
      <c r="G369" s="907"/>
      <c r="H369" s="907"/>
      <c r="I369" s="907"/>
      <c r="J369" s="908"/>
    </row>
    <row r="370" spans="1:10" x14ac:dyDescent="0.2">
      <c r="A370" s="906"/>
      <c r="B370" s="907"/>
      <c r="C370" s="907"/>
      <c r="D370" s="907"/>
      <c r="E370" s="907"/>
      <c r="F370" s="907"/>
      <c r="G370" s="907"/>
      <c r="H370" s="907"/>
      <c r="I370" s="907"/>
      <c r="J370" s="908"/>
    </row>
    <row r="371" spans="1:10" x14ac:dyDescent="0.2">
      <c r="A371" s="906"/>
      <c r="B371" s="907"/>
      <c r="C371" s="907"/>
      <c r="D371" s="907"/>
      <c r="E371" s="907"/>
      <c r="F371" s="907"/>
      <c r="G371" s="907"/>
      <c r="H371" s="907"/>
      <c r="I371" s="907"/>
      <c r="J371" s="908"/>
    </row>
    <row r="372" spans="1:10" x14ac:dyDescent="0.2">
      <c r="A372" s="906"/>
      <c r="B372" s="907"/>
      <c r="C372" s="907"/>
      <c r="D372" s="907"/>
      <c r="E372" s="907"/>
      <c r="F372" s="907"/>
      <c r="G372" s="907"/>
      <c r="H372" s="907"/>
      <c r="I372" s="907"/>
      <c r="J372" s="908"/>
    </row>
    <row r="373" spans="1:10" x14ac:dyDescent="0.2">
      <c r="A373" s="906"/>
      <c r="B373" s="907"/>
      <c r="C373" s="907"/>
      <c r="D373" s="907"/>
      <c r="E373" s="907"/>
      <c r="F373" s="907"/>
      <c r="G373" s="907"/>
      <c r="H373" s="907"/>
      <c r="I373" s="907"/>
      <c r="J373" s="908"/>
    </row>
    <row r="374" spans="1:10" x14ac:dyDescent="0.2">
      <c r="A374" s="906"/>
      <c r="B374" s="907"/>
      <c r="C374" s="907"/>
      <c r="D374" s="907"/>
      <c r="E374" s="907"/>
      <c r="F374" s="907"/>
      <c r="G374" s="907"/>
      <c r="H374" s="907"/>
      <c r="I374" s="907"/>
      <c r="J374" s="908"/>
    </row>
    <row r="375" spans="1:10" x14ac:dyDescent="0.2">
      <c r="A375" s="906"/>
      <c r="B375" s="907"/>
      <c r="C375" s="907"/>
      <c r="D375" s="907"/>
      <c r="E375" s="907"/>
      <c r="F375" s="907"/>
      <c r="G375" s="907"/>
      <c r="H375" s="907"/>
      <c r="I375" s="907"/>
      <c r="J375" s="908"/>
    </row>
    <row r="376" spans="1:10" x14ac:dyDescent="0.2">
      <c r="A376" s="906"/>
      <c r="B376" s="907"/>
      <c r="C376" s="907"/>
      <c r="D376" s="907"/>
      <c r="E376" s="907"/>
      <c r="F376" s="907"/>
      <c r="G376" s="907"/>
      <c r="H376" s="907"/>
      <c r="I376" s="907"/>
      <c r="J376" s="908"/>
    </row>
    <row r="377" spans="1:10" x14ac:dyDescent="0.2">
      <c r="A377" s="906"/>
      <c r="B377" s="907"/>
      <c r="C377" s="907"/>
      <c r="D377" s="907"/>
      <c r="E377" s="907"/>
      <c r="F377" s="907"/>
      <c r="G377" s="907"/>
      <c r="H377" s="907"/>
      <c r="I377" s="907"/>
      <c r="J377" s="908"/>
    </row>
    <row r="378" spans="1:10" x14ac:dyDescent="0.2">
      <c r="A378" s="906"/>
      <c r="B378" s="907"/>
      <c r="C378" s="907"/>
      <c r="D378" s="907"/>
      <c r="E378" s="907"/>
      <c r="F378" s="907"/>
      <c r="G378" s="907"/>
      <c r="H378" s="907"/>
      <c r="I378" s="907"/>
      <c r="J378" s="908"/>
    </row>
    <row r="379" spans="1:10" x14ac:dyDescent="0.2">
      <c r="A379" s="906"/>
      <c r="B379" s="907"/>
      <c r="C379" s="907"/>
      <c r="D379" s="907"/>
      <c r="E379" s="907"/>
      <c r="F379" s="907"/>
      <c r="G379" s="907"/>
      <c r="H379" s="907"/>
      <c r="I379" s="907"/>
      <c r="J379" s="908"/>
    </row>
    <row r="380" spans="1:10" x14ac:dyDescent="0.2">
      <c r="A380" s="906"/>
      <c r="B380" s="907"/>
      <c r="C380" s="907"/>
      <c r="D380" s="907"/>
      <c r="E380" s="907"/>
      <c r="F380" s="907"/>
      <c r="G380" s="907"/>
      <c r="H380" s="907"/>
      <c r="I380" s="907"/>
      <c r="J380" s="908"/>
    </row>
    <row r="381" spans="1:10" x14ac:dyDescent="0.2">
      <c r="A381" s="906"/>
      <c r="B381" s="907"/>
      <c r="C381" s="907"/>
      <c r="D381" s="907"/>
      <c r="E381" s="907"/>
      <c r="F381" s="907"/>
      <c r="G381" s="907"/>
      <c r="H381" s="907"/>
      <c r="I381" s="907"/>
      <c r="J381" s="908"/>
    </row>
    <row r="382" spans="1:10" x14ac:dyDescent="0.2">
      <c r="A382" s="906"/>
      <c r="B382" s="907"/>
      <c r="C382" s="907"/>
      <c r="D382" s="907"/>
      <c r="E382" s="907"/>
      <c r="F382" s="907"/>
      <c r="G382" s="907"/>
      <c r="H382" s="907"/>
      <c r="I382" s="907"/>
      <c r="J382" s="908"/>
    </row>
    <row r="383" spans="1:10" x14ac:dyDescent="0.2">
      <c r="A383" s="906"/>
      <c r="B383" s="907"/>
      <c r="C383" s="907"/>
      <c r="D383" s="907"/>
      <c r="E383" s="907"/>
      <c r="F383" s="907"/>
      <c r="G383" s="907"/>
      <c r="H383" s="907"/>
      <c r="I383" s="907"/>
      <c r="J383" s="908"/>
    </row>
    <row r="384" spans="1:10" x14ac:dyDescent="0.2">
      <c r="A384" s="906"/>
      <c r="B384" s="907"/>
      <c r="C384" s="907"/>
      <c r="D384" s="907"/>
      <c r="E384" s="907"/>
      <c r="F384" s="907"/>
      <c r="G384" s="907"/>
      <c r="H384" s="907"/>
      <c r="I384" s="907"/>
      <c r="J384" s="908"/>
    </row>
    <row r="385" spans="1:10" x14ac:dyDescent="0.2">
      <c r="A385" s="906"/>
      <c r="B385" s="907"/>
      <c r="C385" s="907"/>
      <c r="D385" s="907"/>
      <c r="E385" s="907"/>
      <c r="F385" s="907"/>
      <c r="G385" s="907"/>
      <c r="H385" s="907"/>
      <c r="I385" s="907"/>
      <c r="J385" s="908"/>
    </row>
    <row r="386" spans="1:10" x14ac:dyDescent="0.2">
      <c r="A386" s="906"/>
      <c r="B386" s="907"/>
      <c r="C386" s="907"/>
      <c r="D386" s="907"/>
      <c r="E386" s="907"/>
      <c r="F386" s="907"/>
      <c r="G386" s="907"/>
      <c r="H386" s="907"/>
      <c r="I386" s="907"/>
      <c r="J386" s="908"/>
    </row>
    <row r="387" spans="1:10" x14ac:dyDescent="0.2">
      <c r="A387" s="906"/>
      <c r="B387" s="907"/>
      <c r="C387" s="907"/>
      <c r="D387" s="907"/>
      <c r="E387" s="907"/>
      <c r="F387" s="907"/>
      <c r="G387" s="907"/>
      <c r="H387" s="907"/>
      <c r="I387" s="907"/>
      <c r="J387" s="908"/>
    </row>
    <row r="388" spans="1:10" x14ac:dyDescent="0.2">
      <c r="A388" s="906"/>
      <c r="B388" s="907"/>
      <c r="C388" s="907"/>
      <c r="D388" s="907"/>
      <c r="E388" s="907"/>
      <c r="F388" s="907"/>
      <c r="G388" s="907"/>
      <c r="H388" s="907"/>
      <c r="I388" s="907"/>
      <c r="J388" s="908"/>
    </row>
    <row r="389" spans="1:10" x14ac:dyDescent="0.2">
      <c r="A389" s="906"/>
      <c r="B389" s="907"/>
      <c r="C389" s="907"/>
      <c r="D389" s="907"/>
      <c r="E389" s="907"/>
      <c r="F389" s="907"/>
      <c r="G389" s="907"/>
      <c r="H389" s="907"/>
      <c r="I389" s="907"/>
      <c r="J389" s="908"/>
    </row>
    <row r="390" spans="1:10" x14ac:dyDescent="0.2">
      <c r="A390" s="906"/>
      <c r="B390" s="907"/>
      <c r="C390" s="907"/>
      <c r="D390" s="907"/>
      <c r="E390" s="907"/>
      <c r="F390" s="907"/>
      <c r="G390" s="907"/>
      <c r="H390" s="907"/>
      <c r="I390" s="907"/>
      <c r="J390" s="908"/>
    </row>
    <row r="391" spans="1:10" x14ac:dyDescent="0.2">
      <c r="A391" s="906"/>
      <c r="B391" s="907"/>
      <c r="C391" s="907"/>
      <c r="D391" s="907"/>
      <c r="E391" s="907"/>
      <c r="F391" s="907"/>
      <c r="G391" s="907"/>
      <c r="H391" s="907"/>
      <c r="I391" s="907"/>
      <c r="J391" s="908"/>
    </row>
    <row r="392" spans="1:10" x14ac:dyDescent="0.2">
      <c r="A392" s="906"/>
      <c r="B392" s="907"/>
      <c r="C392" s="907"/>
      <c r="D392" s="907"/>
      <c r="E392" s="907"/>
      <c r="F392" s="907"/>
      <c r="G392" s="907"/>
      <c r="H392" s="907"/>
      <c r="I392" s="907"/>
      <c r="J392" s="908"/>
    </row>
    <row r="393" spans="1:10" x14ac:dyDescent="0.2">
      <c r="A393" s="906"/>
      <c r="B393" s="907"/>
      <c r="C393" s="907"/>
      <c r="D393" s="907"/>
      <c r="E393" s="907"/>
      <c r="F393" s="907"/>
      <c r="G393" s="907"/>
      <c r="H393" s="907"/>
      <c r="I393" s="907"/>
      <c r="J393" s="908"/>
    </row>
    <row r="394" spans="1:10" x14ac:dyDescent="0.2">
      <c r="A394" s="906"/>
      <c r="B394" s="907"/>
      <c r="C394" s="907"/>
      <c r="D394" s="907"/>
      <c r="E394" s="907"/>
      <c r="F394" s="907"/>
      <c r="G394" s="907"/>
      <c r="H394" s="907"/>
      <c r="I394" s="907"/>
      <c r="J394" s="908"/>
    </row>
    <row r="395" spans="1:10" x14ac:dyDescent="0.2">
      <c r="A395" s="906"/>
      <c r="B395" s="907"/>
      <c r="C395" s="907"/>
      <c r="D395" s="907"/>
      <c r="E395" s="907"/>
      <c r="F395" s="907"/>
      <c r="G395" s="907"/>
      <c r="H395" s="907"/>
      <c r="I395" s="907"/>
      <c r="J395" s="908"/>
    </row>
    <row r="396" spans="1:10" x14ac:dyDescent="0.2">
      <c r="A396" s="906"/>
      <c r="B396" s="907"/>
      <c r="C396" s="907"/>
      <c r="D396" s="907"/>
      <c r="E396" s="907"/>
      <c r="F396" s="907"/>
      <c r="G396" s="907"/>
      <c r="H396" s="907"/>
      <c r="I396" s="907"/>
      <c r="J396" s="908"/>
    </row>
    <row r="397" spans="1:10" x14ac:dyDescent="0.2">
      <c r="A397" s="906"/>
      <c r="B397" s="907"/>
      <c r="C397" s="907"/>
      <c r="D397" s="907"/>
      <c r="E397" s="907"/>
      <c r="F397" s="907"/>
      <c r="G397" s="907"/>
      <c r="H397" s="907"/>
      <c r="I397" s="907"/>
      <c r="J397" s="908"/>
    </row>
    <row r="398" spans="1:10" x14ac:dyDescent="0.2">
      <c r="A398" s="906"/>
      <c r="B398" s="907"/>
      <c r="C398" s="907"/>
      <c r="D398" s="907"/>
      <c r="E398" s="907"/>
      <c r="F398" s="907"/>
      <c r="G398" s="907"/>
      <c r="H398" s="907"/>
      <c r="I398" s="907"/>
      <c r="J398" s="908"/>
    </row>
    <row r="399" spans="1:10" x14ac:dyDescent="0.2">
      <c r="A399" s="906"/>
      <c r="B399" s="907"/>
      <c r="C399" s="907"/>
      <c r="D399" s="907"/>
      <c r="E399" s="907"/>
      <c r="F399" s="907"/>
      <c r="G399" s="907"/>
      <c r="H399" s="907"/>
      <c r="I399" s="907"/>
      <c r="J399" s="908"/>
    </row>
    <row r="400" spans="1:10" x14ac:dyDescent="0.2">
      <c r="A400" s="906"/>
      <c r="B400" s="907"/>
      <c r="C400" s="907"/>
      <c r="D400" s="907"/>
      <c r="E400" s="907"/>
      <c r="F400" s="907"/>
      <c r="G400" s="907"/>
      <c r="H400" s="907"/>
      <c r="I400" s="907"/>
      <c r="J400" s="908"/>
    </row>
    <row r="401" spans="1:10" x14ac:dyDescent="0.2">
      <c r="A401" s="906"/>
      <c r="B401" s="907"/>
      <c r="C401" s="907"/>
      <c r="D401" s="907"/>
      <c r="E401" s="907"/>
      <c r="F401" s="907"/>
      <c r="G401" s="907"/>
      <c r="H401" s="907"/>
      <c r="I401" s="907"/>
      <c r="J401" s="908"/>
    </row>
    <row r="402" spans="1:10" x14ac:dyDescent="0.2">
      <c r="A402" s="906"/>
      <c r="B402" s="907"/>
      <c r="C402" s="907"/>
      <c r="D402" s="907"/>
      <c r="E402" s="907"/>
      <c r="F402" s="907"/>
      <c r="G402" s="907"/>
      <c r="H402" s="907"/>
      <c r="I402" s="907"/>
      <c r="J402" s="908"/>
    </row>
    <row r="403" spans="1:10" x14ac:dyDescent="0.2">
      <c r="A403" s="906"/>
      <c r="B403" s="907"/>
      <c r="C403" s="907"/>
      <c r="D403" s="907"/>
      <c r="E403" s="907"/>
      <c r="F403" s="907"/>
      <c r="G403" s="907"/>
      <c r="H403" s="907"/>
      <c r="I403" s="907"/>
      <c r="J403" s="908"/>
    </row>
    <row r="404" spans="1:10" x14ac:dyDescent="0.2">
      <c r="A404" s="906"/>
      <c r="B404" s="907"/>
      <c r="C404" s="907"/>
      <c r="D404" s="907"/>
      <c r="E404" s="907"/>
      <c r="F404" s="907"/>
      <c r="G404" s="907"/>
      <c r="H404" s="907"/>
      <c r="I404" s="907"/>
      <c r="J404" s="908"/>
    </row>
    <row r="405" spans="1:10" x14ac:dyDescent="0.2">
      <c r="A405" s="906"/>
      <c r="B405" s="907"/>
      <c r="C405" s="907"/>
      <c r="D405" s="907"/>
      <c r="E405" s="907"/>
      <c r="F405" s="907"/>
      <c r="G405" s="907"/>
      <c r="H405" s="907"/>
      <c r="I405" s="907"/>
      <c r="J405" s="908"/>
    </row>
    <row r="406" spans="1:10" x14ac:dyDescent="0.2">
      <c r="A406" s="906"/>
      <c r="B406" s="907"/>
      <c r="C406" s="907"/>
      <c r="D406" s="907"/>
      <c r="E406" s="907"/>
      <c r="F406" s="907"/>
      <c r="G406" s="907"/>
      <c r="H406" s="907"/>
      <c r="I406" s="907"/>
      <c r="J406" s="908"/>
    </row>
    <row r="407" spans="1:10" x14ac:dyDescent="0.2">
      <c r="A407" s="906"/>
      <c r="B407" s="907"/>
      <c r="C407" s="907"/>
      <c r="D407" s="907"/>
      <c r="E407" s="907"/>
      <c r="F407" s="907"/>
      <c r="G407" s="907"/>
      <c r="H407" s="907"/>
      <c r="I407" s="907"/>
      <c r="J407" s="908"/>
    </row>
    <row r="408" spans="1:10" x14ac:dyDescent="0.2">
      <c r="A408" s="906"/>
      <c r="B408" s="907"/>
      <c r="C408" s="907"/>
      <c r="D408" s="907"/>
      <c r="E408" s="907"/>
      <c r="F408" s="907"/>
      <c r="G408" s="907"/>
      <c r="H408" s="907"/>
      <c r="I408" s="907"/>
      <c r="J408" s="908"/>
    </row>
    <row r="409" spans="1:10" x14ac:dyDescent="0.2">
      <c r="A409" s="906"/>
      <c r="B409" s="907"/>
      <c r="C409" s="907"/>
      <c r="D409" s="907"/>
      <c r="E409" s="907"/>
      <c r="F409" s="907"/>
      <c r="G409" s="907"/>
      <c r="H409" s="907"/>
      <c r="I409" s="907"/>
      <c r="J409" s="908"/>
    </row>
    <row r="410" spans="1:10" x14ac:dyDescent="0.2">
      <c r="A410" s="906"/>
      <c r="B410" s="907"/>
      <c r="C410" s="907"/>
      <c r="D410" s="907"/>
      <c r="E410" s="907"/>
      <c r="F410" s="907"/>
      <c r="G410" s="907"/>
      <c r="H410" s="907"/>
      <c r="I410" s="907"/>
      <c r="J410" s="908"/>
    </row>
    <row r="411" spans="1:10" x14ac:dyDescent="0.2">
      <c r="A411" s="906"/>
      <c r="B411" s="907"/>
      <c r="C411" s="907"/>
      <c r="D411" s="907"/>
      <c r="E411" s="907"/>
      <c r="F411" s="907"/>
      <c r="G411" s="907"/>
      <c r="H411" s="907"/>
      <c r="I411" s="907"/>
      <c r="J411" s="908"/>
    </row>
    <row r="412" spans="1:10" x14ac:dyDescent="0.2">
      <c r="A412" s="906"/>
      <c r="B412" s="907"/>
      <c r="C412" s="907"/>
      <c r="D412" s="907"/>
      <c r="E412" s="907"/>
      <c r="F412" s="907"/>
      <c r="G412" s="907"/>
      <c r="H412" s="907"/>
      <c r="I412" s="907"/>
      <c r="J412" s="908"/>
    </row>
    <row r="413" spans="1:10" x14ac:dyDescent="0.2">
      <c r="A413" s="906"/>
      <c r="B413" s="907"/>
      <c r="C413" s="907"/>
      <c r="D413" s="907"/>
      <c r="E413" s="907"/>
      <c r="F413" s="907"/>
      <c r="G413" s="907"/>
      <c r="H413" s="907"/>
      <c r="I413" s="907"/>
      <c r="J413" s="908"/>
    </row>
    <row r="414" spans="1:10" x14ac:dyDescent="0.2">
      <c r="A414" s="906"/>
      <c r="B414" s="907"/>
      <c r="C414" s="907"/>
      <c r="D414" s="907"/>
      <c r="E414" s="907"/>
      <c r="F414" s="907"/>
      <c r="G414" s="907"/>
      <c r="H414" s="907"/>
      <c r="I414" s="907"/>
      <c r="J414" s="908"/>
    </row>
    <row r="415" spans="1:10" x14ac:dyDescent="0.2">
      <c r="A415" s="906"/>
      <c r="B415" s="907"/>
      <c r="C415" s="907"/>
      <c r="D415" s="907"/>
      <c r="E415" s="907"/>
      <c r="F415" s="907"/>
      <c r="G415" s="907"/>
      <c r="H415" s="907"/>
      <c r="I415" s="907"/>
      <c r="J415" s="908"/>
    </row>
    <row r="416" spans="1:10" x14ac:dyDescent="0.2">
      <c r="A416" s="906"/>
      <c r="B416" s="907"/>
      <c r="C416" s="907"/>
      <c r="D416" s="907"/>
      <c r="E416" s="907"/>
      <c r="F416" s="907"/>
      <c r="G416" s="907"/>
      <c r="H416" s="907"/>
      <c r="I416" s="907"/>
      <c r="J416" s="908"/>
    </row>
    <row r="417" spans="1:10" x14ac:dyDescent="0.2">
      <c r="A417" s="906"/>
      <c r="B417" s="907"/>
      <c r="C417" s="907"/>
      <c r="D417" s="907"/>
      <c r="E417" s="907"/>
      <c r="F417" s="907"/>
      <c r="G417" s="907"/>
      <c r="H417" s="907"/>
      <c r="I417" s="907"/>
      <c r="J417" s="908"/>
    </row>
    <row r="418" spans="1:10" x14ac:dyDescent="0.2">
      <c r="A418" s="906"/>
      <c r="B418" s="907"/>
      <c r="C418" s="907"/>
      <c r="D418" s="907"/>
      <c r="E418" s="907"/>
      <c r="F418" s="907"/>
      <c r="G418" s="907"/>
      <c r="H418" s="907"/>
      <c r="I418" s="907"/>
      <c r="J418" s="908"/>
    </row>
    <row r="419" spans="1:10" x14ac:dyDescent="0.2">
      <c r="A419" s="906"/>
      <c r="B419" s="907"/>
      <c r="C419" s="907"/>
      <c r="D419" s="907"/>
      <c r="E419" s="907"/>
      <c r="F419" s="907"/>
      <c r="G419" s="907"/>
      <c r="H419" s="907"/>
      <c r="I419" s="907"/>
      <c r="J419" s="908"/>
    </row>
    <row r="420" spans="1:10" x14ac:dyDescent="0.2">
      <c r="A420" s="906"/>
      <c r="B420" s="907"/>
      <c r="C420" s="907"/>
      <c r="D420" s="907"/>
      <c r="E420" s="907"/>
      <c r="F420" s="907"/>
      <c r="G420" s="907"/>
      <c r="H420" s="907"/>
      <c r="I420" s="907"/>
      <c r="J420" s="908"/>
    </row>
    <row r="421" spans="1:10" x14ac:dyDescent="0.2">
      <c r="A421" s="906"/>
      <c r="B421" s="907"/>
      <c r="C421" s="907"/>
      <c r="D421" s="907"/>
      <c r="E421" s="907"/>
      <c r="F421" s="907"/>
      <c r="G421" s="907"/>
      <c r="H421" s="907"/>
      <c r="I421" s="907"/>
      <c r="J421" s="908"/>
    </row>
    <row r="422" spans="1:10" x14ac:dyDescent="0.2">
      <c r="A422" s="906"/>
      <c r="B422" s="907"/>
      <c r="C422" s="907"/>
      <c r="D422" s="907"/>
      <c r="E422" s="907"/>
      <c r="F422" s="907"/>
      <c r="G422" s="907"/>
      <c r="H422" s="907"/>
      <c r="I422" s="907"/>
      <c r="J422" s="908"/>
    </row>
    <row r="423" spans="1:10" x14ac:dyDescent="0.2">
      <c r="A423" s="906"/>
      <c r="B423" s="907"/>
      <c r="C423" s="907"/>
      <c r="D423" s="907"/>
      <c r="E423" s="907"/>
      <c r="F423" s="907"/>
      <c r="G423" s="907"/>
      <c r="H423" s="907"/>
      <c r="I423" s="907"/>
      <c r="J423" s="908"/>
    </row>
    <row r="424" spans="1:10" x14ac:dyDescent="0.2">
      <c r="A424" s="906"/>
      <c r="B424" s="907"/>
      <c r="C424" s="907"/>
      <c r="D424" s="907"/>
      <c r="E424" s="907"/>
      <c r="F424" s="907"/>
      <c r="G424" s="907"/>
      <c r="H424" s="907"/>
      <c r="I424" s="907"/>
      <c r="J424" s="908"/>
    </row>
    <row r="425" spans="1:10" x14ac:dyDescent="0.2">
      <c r="A425" s="906"/>
      <c r="B425" s="907"/>
      <c r="C425" s="907"/>
      <c r="D425" s="907"/>
      <c r="E425" s="907"/>
      <c r="F425" s="907"/>
      <c r="G425" s="907"/>
      <c r="H425" s="907"/>
      <c r="I425" s="907"/>
      <c r="J425" s="908"/>
    </row>
    <row r="426" spans="1:10" x14ac:dyDescent="0.2">
      <c r="A426" s="906"/>
      <c r="B426" s="907"/>
      <c r="C426" s="907"/>
      <c r="D426" s="907"/>
      <c r="E426" s="907"/>
      <c r="F426" s="907"/>
      <c r="G426" s="907"/>
      <c r="H426" s="907"/>
      <c r="I426" s="907"/>
      <c r="J426" s="908"/>
    </row>
    <row r="427" spans="1:10" x14ac:dyDescent="0.2">
      <c r="A427" s="906"/>
      <c r="B427" s="907"/>
      <c r="C427" s="907"/>
      <c r="D427" s="907"/>
      <c r="E427" s="907"/>
      <c r="F427" s="907"/>
      <c r="G427" s="907"/>
      <c r="H427" s="907"/>
      <c r="I427" s="907"/>
      <c r="J427" s="908"/>
    </row>
    <row r="428" spans="1:10" x14ac:dyDescent="0.2">
      <c r="A428" s="906"/>
      <c r="B428" s="907"/>
      <c r="C428" s="907"/>
      <c r="D428" s="907"/>
      <c r="E428" s="907"/>
      <c r="F428" s="907"/>
      <c r="G428" s="907"/>
      <c r="H428" s="907"/>
      <c r="I428" s="907"/>
      <c r="J428" s="908"/>
    </row>
    <row r="429" spans="1:10" x14ac:dyDescent="0.2">
      <c r="A429" s="906"/>
      <c r="B429" s="907"/>
      <c r="C429" s="907"/>
      <c r="D429" s="907"/>
      <c r="E429" s="907"/>
      <c r="F429" s="907"/>
      <c r="G429" s="907"/>
      <c r="H429" s="907"/>
      <c r="I429" s="907"/>
      <c r="J429" s="908"/>
    </row>
    <row r="430" spans="1:10" x14ac:dyDescent="0.2">
      <c r="A430" s="906"/>
      <c r="B430" s="907"/>
      <c r="C430" s="907"/>
      <c r="D430" s="907"/>
      <c r="E430" s="907"/>
      <c r="F430" s="907"/>
      <c r="G430" s="907"/>
      <c r="H430" s="907"/>
      <c r="I430" s="907"/>
      <c r="J430" s="908"/>
    </row>
    <row r="431" spans="1:10" x14ac:dyDescent="0.2">
      <c r="A431" s="906"/>
      <c r="B431" s="907"/>
      <c r="C431" s="907"/>
      <c r="D431" s="907"/>
      <c r="E431" s="907"/>
      <c r="F431" s="907"/>
      <c r="G431" s="907"/>
      <c r="H431" s="907"/>
      <c r="I431" s="907"/>
      <c r="J431" s="908"/>
    </row>
    <row r="432" spans="1:10" x14ac:dyDescent="0.2">
      <c r="A432" s="906"/>
      <c r="B432" s="907"/>
      <c r="C432" s="907"/>
      <c r="D432" s="907"/>
      <c r="E432" s="907"/>
      <c r="F432" s="907"/>
      <c r="G432" s="907"/>
      <c r="H432" s="907"/>
      <c r="I432" s="907"/>
      <c r="J432" s="908"/>
    </row>
    <row r="433" spans="1:10" x14ac:dyDescent="0.2">
      <c r="A433" s="906"/>
      <c r="B433" s="907"/>
      <c r="C433" s="907"/>
      <c r="D433" s="907"/>
      <c r="E433" s="907"/>
      <c r="F433" s="907"/>
      <c r="G433" s="907"/>
      <c r="H433" s="907"/>
      <c r="I433" s="907"/>
      <c r="J433" s="908"/>
    </row>
    <row r="434" spans="1:10" x14ac:dyDescent="0.2">
      <c r="A434" s="906"/>
      <c r="B434" s="907"/>
      <c r="C434" s="907"/>
      <c r="D434" s="907"/>
      <c r="E434" s="907"/>
      <c r="F434" s="907"/>
      <c r="G434" s="907"/>
      <c r="H434" s="907"/>
      <c r="I434" s="907"/>
      <c r="J434" s="908"/>
    </row>
    <row r="435" spans="1:10" x14ac:dyDescent="0.2">
      <c r="A435" s="906"/>
      <c r="B435" s="907"/>
      <c r="C435" s="907"/>
      <c r="D435" s="907"/>
      <c r="E435" s="907"/>
      <c r="F435" s="907"/>
      <c r="G435" s="907"/>
      <c r="H435" s="907"/>
      <c r="I435" s="907"/>
      <c r="J435" s="908"/>
    </row>
    <row r="436" spans="1:10" x14ac:dyDescent="0.2">
      <c r="A436" s="906"/>
      <c r="B436" s="907"/>
      <c r="C436" s="907"/>
      <c r="D436" s="907"/>
      <c r="E436" s="907"/>
      <c r="F436" s="907"/>
      <c r="G436" s="907"/>
      <c r="H436" s="907"/>
      <c r="I436" s="907"/>
      <c r="J436" s="908"/>
    </row>
    <row r="437" spans="1:10" x14ac:dyDescent="0.2">
      <c r="A437" s="906"/>
      <c r="B437" s="907"/>
      <c r="C437" s="907"/>
      <c r="D437" s="907"/>
      <c r="E437" s="907"/>
      <c r="F437" s="907"/>
      <c r="G437" s="907"/>
      <c r="H437" s="907"/>
      <c r="I437" s="907"/>
      <c r="J437" s="908"/>
    </row>
    <row r="438" spans="1:10" x14ac:dyDescent="0.2">
      <c r="A438" s="906"/>
      <c r="B438" s="907"/>
      <c r="C438" s="907"/>
      <c r="D438" s="907"/>
      <c r="E438" s="907"/>
      <c r="F438" s="907"/>
      <c r="G438" s="907"/>
      <c r="H438" s="907"/>
      <c r="I438" s="907"/>
      <c r="J438" s="908"/>
    </row>
    <row r="439" spans="1:10" x14ac:dyDescent="0.2">
      <c r="A439" s="906"/>
      <c r="B439" s="907"/>
      <c r="C439" s="907"/>
      <c r="D439" s="907"/>
      <c r="E439" s="907"/>
      <c r="F439" s="907"/>
      <c r="G439" s="907"/>
      <c r="H439" s="907"/>
      <c r="I439" s="907"/>
      <c r="J439" s="908"/>
    </row>
    <row r="440" spans="1:10" x14ac:dyDescent="0.2">
      <c r="A440" s="906"/>
      <c r="B440" s="907"/>
      <c r="C440" s="907"/>
      <c r="D440" s="907"/>
      <c r="E440" s="907"/>
      <c r="F440" s="907"/>
      <c r="G440" s="907"/>
      <c r="H440" s="907"/>
      <c r="I440" s="907"/>
      <c r="J440" s="908"/>
    </row>
    <row r="441" spans="1:10" x14ac:dyDescent="0.2">
      <c r="A441" s="906"/>
      <c r="B441" s="907"/>
      <c r="C441" s="907"/>
      <c r="D441" s="907"/>
      <c r="E441" s="907"/>
      <c r="F441" s="907"/>
      <c r="G441" s="907"/>
      <c r="H441" s="907"/>
      <c r="I441" s="907"/>
      <c r="J441" s="908"/>
    </row>
    <row r="442" spans="1:10" x14ac:dyDescent="0.2">
      <c r="A442" s="906"/>
      <c r="B442" s="907"/>
      <c r="C442" s="907"/>
      <c r="D442" s="907"/>
      <c r="E442" s="907"/>
      <c r="F442" s="907"/>
      <c r="G442" s="907"/>
      <c r="H442" s="907"/>
      <c r="I442" s="907"/>
      <c r="J442" s="908"/>
    </row>
    <row r="443" spans="1:10" x14ac:dyDescent="0.2">
      <c r="A443" s="906"/>
      <c r="B443" s="907"/>
      <c r="C443" s="907"/>
      <c r="D443" s="907"/>
      <c r="E443" s="907"/>
      <c r="F443" s="907"/>
      <c r="G443" s="907"/>
      <c r="H443" s="907"/>
      <c r="I443" s="907"/>
      <c r="J443" s="908"/>
    </row>
    <row r="444" spans="1:10" x14ac:dyDescent="0.2">
      <c r="A444" s="906"/>
      <c r="B444" s="907"/>
      <c r="C444" s="907"/>
      <c r="D444" s="907"/>
      <c r="E444" s="907"/>
      <c r="F444" s="907"/>
      <c r="G444" s="907"/>
      <c r="H444" s="907"/>
      <c r="I444" s="907"/>
      <c r="J444" s="908"/>
    </row>
    <row r="445" spans="1:10" x14ac:dyDescent="0.2">
      <c r="A445" s="906"/>
      <c r="B445" s="907"/>
      <c r="C445" s="907"/>
      <c r="D445" s="907"/>
      <c r="E445" s="907"/>
      <c r="F445" s="907"/>
      <c r="G445" s="907"/>
      <c r="H445" s="907"/>
      <c r="I445" s="907"/>
      <c r="J445" s="908"/>
    </row>
    <row r="446" spans="1:10" x14ac:dyDescent="0.2">
      <c r="A446" s="906"/>
      <c r="B446" s="907"/>
      <c r="C446" s="907"/>
      <c r="D446" s="907"/>
      <c r="E446" s="907"/>
      <c r="F446" s="907"/>
      <c r="G446" s="907"/>
      <c r="H446" s="907"/>
      <c r="I446" s="907"/>
      <c r="J446" s="908"/>
    </row>
    <row r="447" spans="1:10" x14ac:dyDescent="0.2">
      <c r="A447" s="906"/>
      <c r="B447" s="907"/>
      <c r="C447" s="907"/>
      <c r="D447" s="907"/>
      <c r="E447" s="907"/>
      <c r="F447" s="907"/>
      <c r="G447" s="907"/>
      <c r="H447" s="907"/>
      <c r="I447" s="907"/>
      <c r="J447" s="908"/>
    </row>
    <row r="448" spans="1:10" x14ac:dyDescent="0.2">
      <c r="A448" s="906"/>
      <c r="B448" s="907"/>
      <c r="C448" s="907"/>
      <c r="D448" s="907"/>
      <c r="E448" s="907"/>
      <c r="F448" s="907"/>
      <c r="G448" s="907"/>
      <c r="H448" s="907"/>
      <c r="I448" s="907"/>
      <c r="J448" s="908"/>
    </row>
    <row r="449" spans="1:10" x14ac:dyDescent="0.2">
      <c r="A449" s="906"/>
      <c r="B449" s="907"/>
      <c r="C449" s="907"/>
      <c r="D449" s="907"/>
      <c r="E449" s="907"/>
      <c r="F449" s="907"/>
      <c r="G449" s="907"/>
      <c r="H449" s="907"/>
      <c r="I449" s="907"/>
      <c r="J449" s="908"/>
    </row>
    <row r="450" spans="1:10" x14ac:dyDescent="0.2">
      <c r="A450" s="906"/>
      <c r="B450" s="907"/>
      <c r="C450" s="907"/>
      <c r="D450" s="907"/>
      <c r="E450" s="907"/>
      <c r="F450" s="907"/>
      <c r="G450" s="907"/>
      <c r="H450" s="907"/>
      <c r="I450" s="907"/>
      <c r="J450" s="908"/>
    </row>
    <row r="451" spans="1:10" x14ac:dyDescent="0.2">
      <c r="A451" s="906"/>
      <c r="B451" s="907"/>
      <c r="C451" s="907"/>
      <c r="D451" s="907"/>
      <c r="E451" s="907"/>
      <c r="F451" s="907"/>
      <c r="G451" s="907"/>
      <c r="H451" s="907"/>
      <c r="I451" s="907"/>
      <c r="J451" s="908"/>
    </row>
    <row r="452" spans="1:10" x14ac:dyDescent="0.2">
      <c r="A452" s="906"/>
      <c r="B452" s="907"/>
      <c r="C452" s="907"/>
      <c r="D452" s="907"/>
      <c r="E452" s="907"/>
      <c r="F452" s="907"/>
      <c r="G452" s="907"/>
      <c r="H452" s="907"/>
      <c r="I452" s="907"/>
      <c r="J452" s="908"/>
    </row>
    <row r="453" spans="1:10" x14ac:dyDescent="0.2">
      <c r="A453" s="906"/>
      <c r="B453" s="907"/>
      <c r="C453" s="907"/>
      <c r="D453" s="907"/>
      <c r="E453" s="907"/>
      <c r="F453" s="907"/>
      <c r="G453" s="907"/>
      <c r="H453" s="907"/>
      <c r="I453" s="907"/>
      <c r="J453" s="908"/>
    </row>
    <row r="454" spans="1:10" x14ac:dyDescent="0.2">
      <c r="A454" s="906"/>
      <c r="B454" s="907"/>
      <c r="C454" s="907"/>
      <c r="D454" s="907"/>
      <c r="E454" s="907"/>
      <c r="F454" s="907"/>
      <c r="G454" s="907"/>
      <c r="H454" s="907"/>
      <c r="I454" s="907"/>
      <c r="J454" s="908"/>
    </row>
    <row r="455" spans="1:10" x14ac:dyDescent="0.2">
      <c r="A455" s="906"/>
      <c r="B455" s="907"/>
      <c r="C455" s="907"/>
      <c r="D455" s="907"/>
      <c r="E455" s="907"/>
      <c r="F455" s="907"/>
      <c r="G455" s="907"/>
      <c r="H455" s="907"/>
      <c r="I455" s="907"/>
      <c r="J455" s="908"/>
    </row>
    <row r="456" spans="1:10" x14ac:dyDescent="0.2">
      <c r="A456" s="906"/>
      <c r="B456" s="907"/>
      <c r="C456" s="907"/>
      <c r="D456" s="907"/>
      <c r="E456" s="907"/>
      <c r="F456" s="907"/>
      <c r="G456" s="907"/>
      <c r="H456" s="907"/>
      <c r="I456" s="907"/>
      <c r="J456" s="908"/>
    </row>
    <row r="457" spans="1:10" x14ac:dyDescent="0.2">
      <c r="A457" s="906"/>
      <c r="B457" s="907"/>
      <c r="C457" s="907"/>
      <c r="D457" s="907"/>
      <c r="E457" s="907"/>
      <c r="F457" s="907"/>
      <c r="G457" s="907"/>
      <c r="H457" s="907"/>
      <c r="I457" s="907"/>
      <c r="J457" s="908"/>
    </row>
    <row r="458" spans="1:10" x14ac:dyDescent="0.2">
      <c r="A458" s="906"/>
      <c r="B458" s="907"/>
      <c r="C458" s="907"/>
      <c r="D458" s="907"/>
      <c r="E458" s="907"/>
      <c r="F458" s="907"/>
      <c r="G458" s="907"/>
      <c r="H458" s="907"/>
      <c r="I458" s="907"/>
      <c r="J458" s="908"/>
    </row>
    <row r="459" spans="1:10" x14ac:dyDescent="0.2">
      <c r="A459" s="906"/>
      <c r="B459" s="907"/>
      <c r="C459" s="907"/>
      <c r="D459" s="907"/>
      <c r="E459" s="907"/>
      <c r="F459" s="907"/>
      <c r="G459" s="907"/>
      <c r="H459" s="907"/>
      <c r="I459" s="907"/>
      <c r="J459" s="908"/>
    </row>
    <row r="460" spans="1:10" x14ac:dyDescent="0.2">
      <c r="A460" s="906"/>
      <c r="B460" s="907"/>
      <c r="C460" s="907"/>
      <c r="D460" s="907"/>
      <c r="E460" s="907"/>
      <c r="F460" s="907"/>
      <c r="G460" s="907"/>
      <c r="H460" s="907"/>
      <c r="I460" s="907"/>
      <c r="J460" s="908"/>
    </row>
    <row r="461" spans="1:10" x14ac:dyDescent="0.2">
      <c r="A461" s="906"/>
      <c r="B461" s="907"/>
      <c r="C461" s="907"/>
      <c r="D461" s="907"/>
      <c r="E461" s="907"/>
      <c r="F461" s="907"/>
      <c r="G461" s="907"/>
      <c r="H461" s="907"/>
      <c r="I461" s="907"/>
      <c r="J461" s="908"/>
    </row>
    <row r="462" spans="1:10" x14ac:dyDescent="0.2">
      <c r="A462" s="906"/>
      <c r="B462" s="907"/>
      <c r="C462" s="907"/>
      <c r="D462" s="907"/>
      <c r="E462" s="907"/>
      <c r="F462" s="907"/>
      <c r="G462" s="907"/>
      <c r="H462" s="907"/>
      <c r="I462" s="907"/>
      <c r="J462" s="908"/>
    </row>
    <row r="463" spans="1:10" x14ac:dyDescent="0.2">
      <c r="A463" s="906"/>
      <c r="B463" s="907"/>
      <c r="C463" s="907"/>
      <c r="D463" s="907"/>
      <c r="E463" s="907"/>
      <c r="F463" s="907"/>
      <c r="G463" s="907"/>
      <c r="H463" s="907"/>
      <c r="I463" s="907"/>
      <c r="J463" s="908"/>
    </row>
    <row r="464" spans="1:10" x14ac:dyDescent="0.2">
      <c r="A464" s="906"/>
      <c r="B464" s="907"/>
      <c r="C464" s="907"/>
      <c r="D464" s="907"/>
      <c r="E464" s="907"/>
      <c r="F464" s="907"/>
      <c r="G464" s="907"/>
      <c r="H464" s="907"/>
      <c r="I464" s="907"/>
      <c r="J464" s="908"/>
    </row>
    <row r="465" spans="1:10" x14ac:dyDescent="0.2">
      <c r="A465" s="906"/>
      <c r="B465" s="907"/>
      <c r="C465" s="907"/>
      <c r="D465" s="907"/>
      <c r="E465" s="907"/>
      <c r="F465" s="907"/>
      <c r="G465" s="907"/>
      <c r="H465" s="907"/>
      <c r="I465" s="907"/>
      <c r="J465" s="908"/>
    </row>
    <row r="466" spans="1:10" x14ac:dyDescent="0.2">
      <c r="A466" s="906"/>
      <c r="B466" s="907"/>
      <c r="C466" s="907"/>
      <c r="D466" s="907"/>
      <c r="E466" s="907"/>
      <c r="F466" s="907"/>
      <c r="G466" s="907"/>
      <c r="H466" s="907"/>
      <c r="I466" s="907"/>
      <c r="J466" s="908"/>
    </row>
    <row r="467" spans="1:10" x14ac:dyDescent="0.2">
      <c r="A467" s="906"/>
      <c r="B467" s="907"/>
      <c r="C467" s="907"/>
      <c r="D467" s="907"/>
      <c r="E467" s="907"/>
      <c r="F467" s="907"/>
      <c r="G467" s="907"/>
      <c r="H467" s="907"/>
      <c r="I467" s="907"/>
      <c r="J467" s="908"/>
    </row>
    <row r="468" spans="1:10" x14ac:dyDescent="0.2">
      <c r="A468" s="906"/>
      <c r="B468" s="907"/>
      <c r="C468" s="907"/>
      <c r="D468" s="907"/>
      <c r="E468" s="907"/>
      <c r="F468" s="907"/>
      <c r="G468" s="907"/>
      <c r="H468" s="907"/>
      <c r="I468" s="907"/>
      <c r="J468" s="908"/>
    </row>
    <row r="469" spans="1:10" x14ac:dyDescent="0.2">
      <c r="A469" s="906"/>
      <c r="B469" s="907"/>
      <c r="C469" s="907"/>
      <c r="D469" s="907"/>
      <c r="E469" s="907"/>
      <c r="F469" s="907"/>
      <c r="G469" s="907"/>
      <c r="H469" s="907"/>
      <c r="I469" s="907"/>
      <c r="J469" s="908"/>
    </row>
    <row r="470" spans="1:10" x14ac:dyDescent="0.2">
      <c r="A470" s="906"/>
      <c r="B470" s="907"/>
      <c r="C470" s="907"/>
      <c r="D470" s="907"/>
      <c r="E470" s="907"/>
      <c r="F470" s="907"/>
      <c r="G470" s="907"/>
      <c r="H470" s="907"/>
      <c r="I470" s="907"/>
      <c r="J470" s="908"/>
    </row>
    <row r="471" spans="1:10" x14ac:dyDescent="0.2">
      <c r="A471" s="906"/>
      <c r="B471" s="907"/>
      <c r="C471" s="907"/>
      <c r="D471" s="907"/>
      <c r="E471" s="907"/>
      <c r="F471" s="907"/>
      <c r="G471" s="907"/>
      <c r="H471" s="907"/>
      <c r="I471" s="907"/>
      <c r="J471" s="908"/>
    </row>
    <row r="472" spans="1:10" x14ac:dyDescent="0.2">
      <c r="A472" s="906"/>
      <c r="B472" s="907"/>
      <c r="C472" s="907"/>
      <c r="D472" s="907"/>
      <c r="E472" s="907"/>
      <c r="F472" s="907"/>
      <c r="G472" s="907"/>
      <c r="H472" s="907"/>
      <c r="I472" s="907"/>
      <c r="J472" s="908"/>
    </row>
    <row r="473" spans="1:10" x14ac:dyDescent="0.2">
      <c r="A473" s="906"/>
      <c r="B473" s="907"/>
      <c r="C473" s="907"/>
      <c r="D473" s="907"/>
      <c r="E473" s="907"/>
      <c r="F473" s="907"/>
      <c r="G473" s="907"/>
      <c r="H473" s="907"/>
      <c r="I473" s="907"/>
      <c r="J473" s="908"/>
    </row>
    <row r="474" spans="1:10" x14ac:dyDescent="0.2">
      <c r="A474" s="906"/>
      <c r="B474" s="907"/>
      <c r="C474" s="907"/>
      <c r="D474" s="907"/>
      <c r="E474" s="907"/>
      <c r="F474" s="907"/>
      <c r="G474" s="907"/>
      <c r="H474" s="907"/>
      <c r="I474" s="907"/>
      <c r="J474" s="908"/>
    </row>
    <row r="475" spans="1:10" x14ac:dyDescent="0.2">
      <c r="A475" s="906"/>
      <c r="B475" s="907"/>
      <c r="C475" s="907"/>
      <c r="D475" s="907"/>
      <c r="E475" s="907"/>
      <c r="F475" s="907"/>
      <c r="G475" s="907"/>
      <c r="H475" s="907"/>
      <c r="I475" s="907"/>
      <c r="J475" s="908"/>
    </row>
    <row r="476" spans="1:10" x14ac:dyDescent="0.2">
      <c r="A476" s="906"/>
      <c r="B476" s="907"/>
      <c r="C476" s="907"/>
      <c r="D476" s="907"/>
      <c r="E476" s="907"/>
      <c r="F476" s="907"/>
      <c r="G476" s="907"/>
      <c r="H476" s="907"/>
      <c r="I476" s="907"/>
      <c r="J476" s="908"/>
    </row>
    <row r="477" spans="1:10" x14ac:dyDescent="0.2">
      <c r="A477" s="906"/>
      <c r="B477" s="907"/>
      <c r="C477" s="907"/>
      <c r="D477" s="907"/>
      <c r="E477" s="907"/>
      <c r="F477" s="907"/>
      <c r="G477" s="907"/>
      <c r="H477" s="907"/>
      <c r="I477" s="907"/>
      <c r="J477" s="908"/>
    </row>
    <row r="478" spans="1:10" x14ac:dyDescent="0.2">
      <c r="A478" s="906"/>
      <c r="B478" s="907"/>
      <c r="C478" s="907"/>
      <c r="D478" s="907"/>
      <c r="E478" s="907"/>
      <c r="F478" s="907"/>
      <c r="G478" s="907"/>
      <c r="H478" s="907"/>
      <c r="I478" s="907"/>
      <c r="J478" s="908"/>
    </row>
    <row r="479" spans="1:10" x14ac:dyDescent="0.2">
      <c r="A479" s="906"/>
      <c r="B479" s="907"/>
      <c r="C479" s="907"/>
      <c r="D479" s="907"/>
      <c r="E479" s="907"/>
      <c r="F479" s="907"/>
      <c r="G479" s="907"/>
      <c r="H479" s="907"/>
      <c r="I479" s="907"/>
      <c r="J479" s="908"/>
    </row>
    <row r="480" spans="1:10" x14ac:dyDescent="0.2">
      <c r="A480" s="906"/>
      <c r="B480" s="907"/>
      <c r="C480" s="907"/>
      <c r="D480" s="907"/>
      <c r="E480" s="907"/>
      <c r="F480" s="907"/>
      <c r="G480" s="907"/>
      <c r="H480" s="907"/>
      <c r="I480" s="907"/>
      <c r="J480" s="908"/>
    </row>
    <row r="481" spans="1:10" x14ac:dyDescent="0.2">
      <c r="A481" s="906"/>
      <c r="B481" s="907"/>
      <c r="C481" s="907"/>
      <c r="D481" s="907"/>
      <c r="E481" s="907"/>
      <c r="F481" s="907"/>
      <c r="G481" s="907"/>
      <c r="H481" s="907"/>
      <c r="I481" s="907"/>
      <c r="J481" s="908"/>
    </row>
    <row r="482" spans="1:10" x14ac:dyDescent="0.2">
      <c r="A482" s="906"/>
      <c r="B482" s="907"/>
      <c r="C482" s="907"/>
      <c r="D482" s="907"/>
      <c r="E482" s="907"/>
      <c r="F482" s="907"/>
      <c r="G482" s="907"/>
      <c r="H482" s="907"/>
      <c r="I482" s="907"/>
      <c r="J482" s="908"/>
    </row>
    <row r="483" spans="1:10" x14ac:dyDescent="0.2">
      <c r="A483" s="906"/>
      <c r="B483" s="907"/>
      <c r="C483" s="907"/>
      <c r="D483" s="907"/>
      <c r="E483" s="907"/>
      <c r="F483" s="907"/>
      <c r="G483" s="907"/>
      <c r="H483" s="907"/>
      <c r="I483" s="907"/>
      <c r="J483" s="908"/>
    </row>
    <row r="484" spans="1:10" x14ac:dyDescent="0.2">
      <c r="A484" s="906"/>
      <c r="B484" s="907"/>
      <c r="C484" s="907"/>
      <c r="D484" s="907"/>
      <c r="E484" s="907"/>
      <c r="F484" s="907"/>
      <c r="G484" s="907"/>
      <c r="H484" s="907"/>
      <c r="I484" s="907"/>
      <c r="J484" s="908"/>
    </row>
    <row r="485" spans="1:10" x14ac:dyDescent="0.2">
      <c r="A485" s="906"/>
      <c r="B485" s="907"/>
      <c r="C485" s="907"/>
      <c r="D485" s="907"/>
      <c r="E485" s="907"/>
      <c r="F485" s="907"/>
      <c r="G485" s="907"/>
      <c r="H485" s="907"/>
      <c r="I485" s="907"/>
      <c r="J485" s="908"/>
    </row>
    <row r="486" spans="1:10" x14ac:dyDescent="0.2">
      <c r="A486" s="906"/>
      <c r="B486" s="907"/>
      <c r="C486" s="907"/>
      <c r="D486" s="907"/>
      <c r="E486" s="907"/>
      <c r="F486" s="907"/>
      <c r="G486" s="907"/>
      <c r="H486" s="907"/>
      <c r="I486" s="907"/>
      <c r="J486" s="908"/>
    </row>
    <row r="487" spans="1:10" x14ac:dyDescent="0.2">
      <c r="A487" s="906"/>
      <c r="B487" s="907"/>
      <c r="C487" s="907"/>
      <c r="D487" s="907"/>
      <c r="E487" s="907"/>
      <c r="F487" s="907"/>
      <c r="G487" s="907"/>
      <c r="H487" s="907"/>
      <c r="I487" s="907"/>
      <c r="J487" s="908"/>
    </row>
    <row r="488" spans="1:10" x14ac:dyDescent="0.2">
      <c r="A488" s="906"/>
      <c r="B488" s="907"/>
      <c r="C488" s="907"/>
      <c r="D488" s="907"/>
      <c r="E488" s="907"/>
      <c r="F488" s="907"/>
      <c r="G488" s="907"/>
      <c r="H488" s="907"/>
      <c r="I488" s="907"/>
      <c r="J488" s="908"/>
    </row>
    <row r="489" spans="1:10" x14ac:dyDescent="0.2">
      <c r="A489" s="906"/>
      <c r="B489" s="907"/>
      <c r="C489" s="907"/>
      <c r="D489" s="907"/>
      <c r="E489" s="907"/>
      <c r="F489" s="907"/>
      <c r="G489" s="907"/>
      <c r="H489" s="907"/>
      <c r="I489" s="907"/>
      <c r="J489" s="908"/>
    </row>
    <row r="490" spans="1:10" x14ac:dyDescent="0.2">
      <c r="A490" s="906"/>
      <c r="B490" s="907"/>
      <c r="C490" s="907"/>
      <c r="D490" s="907"/>
      <c r="E490" s="907"/>
      <c r="F490" s="907"/>
      <c r="G490" s="907"/>
      <c r="H490" s="907"/>
      <c r="I490" s="907"/>
      <c r="J490" s="908"/>
    </row>
    <row r="491" spans="1:10" x14ac:dyDescent="0.2">
      <c r="A491" s="906"/>
      <c r="B491" s="907"/>
      <c r="C491" s="907"/>
      <c r="D491" s="907"/>
      <c r="E491" s="907"/>
      <c r="F491" s="907"/>
      <c r="G491" s="907"/>
      <c r="H491" s="907"/>
      <c r="I491" s="907"/>
      <c r="J491" s="908"/>
    </row>
    <row r="492" spans="1:10" x14ac:dyDescent="0.2">
      <c r="A492" s="906"/>
      <c r="B492" s="907"/>
      <c r="C492" s="907"/>
      <c r="D492" s="907"/>
      <c r="E492" s="907"/>
      <c r="F492" s="907"/>
      <c r="G492" s="907"/>
      <c r="H492" s="907"/>
      <c r="I492" s="907"/>
      <c r="J492" s="908"/>
    </row>
    <row r="493" spans="1:10" x14ac:dyDescent="0.2">
      <c r="A493" s="906"/>
      <c r="B493" s="907"/>
      <c r="C493" s="907"/>
      <c r="D493" s="907"/>
      <c r="E493" s="907"/>
      <c r="F493" s="907"/>
      <c r="G493" s="907"/>
      <c r="H493" s="907"/>
      <c r="I493" s="907"/>
      <c r="J493" s="908"/>
    </row>
    <row r="494" spans="1:10" x14ac:dyDescent="0.2">
      <c r="A494" s="906"/>
      <c r="B494" s="907"/>
      <c r="C494" s="907"/>
      <c r="D494" s="907"/>
      <c r="E494" s="907"/>
      <c r="F494" s="907"/>
      <c r="G494" s="907"/>
      <c r="H494" s="907"/>
      <c r="I494" s="907"/>
      <c r="J494" s="908"/>
    </row>
    <row r="495" spans="1:10" x14ac:dyDescent="0.2">
      <c r="A495" s="906"/>
      <c r="B495" s="907"/>
      <c r="C495" s="907"/>
      <c r="D495" s="907"/>
      <c r="E495" s="907"/>
      <c r="F495" s="907"/>
      <c r="G495" s="907"/>
      <c r="H495" s="907"/>
      <c r="I495" s="907"/>
      <c r="J495" s="908"/>
    </row>
    <row r="496" spans="1:10" x14ac:dyDescent="0.2">
      <c r="A496" s="906"/>
      <c r="B496" s="907"/>
      <c r="C496" s="907"/>
      <c r="D496" s="907"/>
      <c r="E496" s="907"/>
      <c r="F496" s="907"/>
      <c r="G496" s="907"/>
      <c r="H496" s="907"/>
      <c r="I496" s="907"/>
      <c r="J496" s="908"/>
    </row>
    <row r="497" spans="1:10" x14ac:dyDescent="0.2">
      <c r="A497" s="906"/>
      <c r="B497" s="907"/>
      <c r="C497" s="907"/>
      <c r="D497" s="907"/>
      <c r="E497" s="907"/>
      <c r="F497" s="907"/>
      <c r="G497" s="907"/>
      <c r="H497" s="907"/>
      <c r="I497" s="907"/>
      <c r="J497" s="908"/>
    </row>
    <row r="498" spans="1:10" x14ac:dyDescent="0.2">
      <c r="A498" s="906"/>
      <c r="B498" s="907"/>
      <c r="C498" s="907"/>
      <c r="D498" s="907"/>
      <c r="E498" s="907"/>
      <c r="F498" s="907"/>
      <c r="G498" s="907"/>
      <c r="H498" s="907"/>
      <c r="I498" s="907"/>
      <c r="J498" s="908"/>
    </row>
    <row r="499" spans="1:10" x14ac:dyDescent="0.2">
      <c r="A499" s="906"/>
      <c r="B499" s="907"/>
      <c r="C499" s="907"/>
      <c r="D499" s="907"/>
      <c r="E499" s="907"/>
      <c r="F499" s="907"/>
      <c r="G499" s="907"/>
      <c r="H499" s="907"/>
      <c r="I499" s="907"/>
      <c r="J499" s="908"/>
    </row>
    <row r="500" spans="1:10" x14ac:dyDescent="0.2">
      <c r="A500" s="906"/>
      <c r="B500" s="907"/>
      <c r="C500" s="907"/>
      <c r="D500" s="907"/>
      <c r="E500" s="907"/>
      <c r="F500" s="907"/>
      <c r="G500" s="907"/>
      <c r="H500" s="907"/>
      <c r="I500" s="907"/>
      <c r="J500" s="908"/>
    </row>
    <row r="501" spans="1:10" x14ac:dyDescent="0.2">
      <c r="A501" s="906"/>
      <c r="B501" s="907"/>
      <c r="C501" s="907"/>
      <c r="D501" s="907"/>
      <c r="E501" s="907"/>
      <c r="F501" s="907"/>
      <c r="G501" s="907"/>
      <c r="H501" s="907"/>
      <c r="I501" s="907"/>
      <c r="J501" s="908"/>
    </row>
    <row r="502" spans="1:10" x14ac:dyDescent="0.2">
      <c r="A502" s="906"/>
      <c r="B502" s="907"/>
      <c r="C502" s="907"/>
      <c r="D502" s="907"/>
      <c r="E502" s="907"/>
      <c r="F502" s="907"/>
      <c r="G502" s="907"/>
      <c r="H502" s="907"/>
      <c r="I502" s="907"/>
      <c r="J502" s="908"/>
    </row>
    <row r="503" spans="1:10" x14ac:dyDescent="0.2">
      <c r="A503" s="906"/>
      <c r="B503" s="907"/>
      <c r="C503" s="907"/>
      <c r="D503" s="907"/>
      <c r="E503" s="907"/>
      <c r="F503" s="907"/>
      <c r="G503" s="907"/>
      <c r="H503" s="907"/>
      <c r="I503" s="907"/>
      <c r="J503" s="908"/>
    </row>
    <row r="504" spans="1:10" x14ac:dyDescent="0.2">
      <c r="A504" s="906"/>
      <c r="B504" s="907"/>
      <c r="C504" s="907"/>
      <c r="D504" s="907"/>
      <c r="E504" s="907"/>
      <c r="F504" s="907"/>
      <c r="G504" s="907"/>
      <c r="H504" s="907"/>
      <c r="I504" s="907"/>
      <c r="J504" s="908"/>
    </row>
    <row r="505" spans="1:10" x14ac:dyDescent="0.2">
      <c r="A505" s="906"/>
      <c r="B505" s="907"/>
      <c r="C505" s="907"/>
      <c r="D505" s="907"/>
      <c r="E505" s="907"/>
      <c r="F505" s="907"/>
      <c r="G505" s="907"/>
      <c r="H505" s="907"/>
      <c r="I505" s="907"/>
      <c r="J505" s="908"/>
    </row>
    <row r="506" spans="1:10" x14ac:dyDescent="0.2">
      <c r="A506" s="906"/>
      <c r="B506" s="907"/>
      <c r="C506" s="907"/>
      <c r="D506" s="907"/>
      <c r="E506" s="907"/>
      <c r="F506" s="907"/>
      <c r="G506" s="907"/>
      <c r="H506" s="907"/>
      <c r="I506" s="907"/>
      <c r="J506" s="908"/>
    </row>
    <row r="507" spans="1:10" x14ac:dyDescent="0.2">
      <c r="A507" s="906"/>
      <c r="B507" s="907"/>
      <c r="C507" s="907"/>
      <c r="D507" s="907"/>
      <c r="E507" s="907"/>
      <c r="F507" s="907"/>
      <c r="G507" s="907"/>
      <c r="H507" s="907"/>
      <c r="I507" s="907"/>
      <c r="J507" s="908"/>
    </row>
    <row r="508" spans="1:10" x14ac:dyDescent="0.2">
      <c r="A508" s="906"/>
      <c r="B508" s="907"/>
      <c r="C508" s="907"/>
      <c r="D508" s="907"/>
      <c r="E508" s="907"/>
      <c r="F508" s="907"/>
      <c r="G508" s="907"/>
      <c r="H508" s="907"/>
      <c r="I508" s="907"/>
      <c r="J508" s="908"/>
    </row>
    <row r="509" spans="1:10" x14ac:dyDescent="0.2">
      <c r="A509" s="906"/>
      <c r="B509" s="907"/>
      <c r="C509" s="907"/>
      <c r="D509" s="907"/>
      <c r="E509" s="907"/>
      <c r="F509" s="907"/>
      <c r="G509" s="907"/>
      <c r="H509" s="907"/>
      <c r="I509" s="907"/>
      <c r="J509" s="908"/>
    </row>
    <row r="510" spans="1:10" x14ac:dyDescent="0.2">
      <c r="A510" s="906"/>
      <c r="B510" s="907"/>
      <c r="C510" s="907"/>
      <c r="D510" s="907"/>
      <c r="E510" s="907"/>
      <c r="F510" s="907"/>
      <c r="G510" s="907"/>
      <c r="H510" s="907"/>
      <c r="I510" s="907"/>
      <c r="J510" s="908"/>
    </row>
    <row r="511" spans="1:10" x14ac:dyDescent="0.2">
      <c r="A511" s="906"/>
      <c r="B511" s="907"/>
      <c r="C511" s="907"/>
      <c r="D511" s="907"/>
      <c r="E511" s="907"/>
      <c r="F511" s="907"/>
      <c r="G511" s="907"/>
      <c r="H511" s="907"/>
      <c r="I511" s="907"/>
      <c r="J511" s="908"/>
    </row>
    <row r="512" spans="1:10" x14ac:dyDescent="0.2">
      <c r="A512" s="906"/>
      <c r="B512" s="907"/>
      <c r="C512" s="907"/>
      <c r="D512" s="907"/>
      <c r="E512" s="907"/>
      <c r="F512" s="907"/>
      <c r="G512" s="907"/>
      <c r="H512" s="907"/>
      <c r="I512" s="907"/>
      <c r="J512" s="908"/>
    </row>
    <row r="513" spans="1:10" x14ac:dyDescent="0.2">
      <c r="A513" s="906"/>
      <c r="B513" s="907"/>
      <c r="C513" s="907"/>
      <c r="D513" s="907"/>
      <c r="E513" s="907"/>
      <c r="F513" s="907"/>
      <c r="G513" s="907"/>
      <c r="H513" s="907"/>
      <c r="I513" s="907"/>
      <c r="J513" s="908"/>
    </row>
    <row r="514" spans="1:10" x14ac:dyDescent="0.2">
      <c r="A514" s="906"/>
      <c r="B514" s="907"/>
      <c r="C514" s="907"/>
      <c r="D514" s="907"/>
      <c r="E514" s="907"/>
      <c r="F514" s="907"/>
      <c r="G514" s="907"/>
      <c r="H514" s="907"/>
      <c r="I514" s="907"/>
      <c r="J514" s="908"/>
    </row>
    <row r="515" spans="1:10" x14ac:dyDescent="0.2">
      <c r="A515" s="906"/>
      <c r="B515" s="907"/>
      <c r="C515" s="907"/>
      <c r="D515" s="907"/>
      <c r="E515" s="907"/>
      <c r="F515" s="907"/>
      <c r="G515" s="907"/>
      <c r="H515" s="907"/>
      <c r="I515" s="907"/>
      <c r="J515" s="908"/>
    </row>
    <row r="516" spans="1:10" x14ac:dyDescent="0.2">
      <c r="A516" s="906"/>
      <c r="B516" s="907"/>
      <c r="C516" s="907"/>
      <c r="D516" s="907"/>
      <c r="E516" s="907"/>
      <c r="F516" s="907"/>
      <c r="G516" s="907"/>
      <c r="H516" s="907"/>
      <c r="I516" s="907"/>
      <c r="J516" s="908"/>
    </row>
    <row r="517" spans="1:10" x14ac:dyDescent="0.2">
      <c r="A517" s="906"/>
      <c r="B517" s="907"/>
      <c r="C517" s="907"/>
      <c r="D517" s="907"/>
      <c r="E517" s="907"/>
      <c r="F517" s="907"/>
      <c r="G517" s="907"/>
      <c r="H517" s="907"/>
      <c r="I517" s="907"/>
      <c r="J517" s="908"/>
    </row>
    <row r="518" spans="1:10" x14ac:dyDescent="0.2">
      <c r="A518" s="906"/>
      <c r="B518" s="907"/>
      <c r="C518" s="907"/>
      <c r="D518" s="907"/>
      <c r="E518" s="907"/>
      <c r="F518" s="907"/>
      <c r="G518" s="907"/>
      <c r="H518" s="907"/>
      <c r="I518" s="907"/>
      <c r="J518" s="908"/>
    </row>
    <row r="519" spans="1:10" x14ac:dyDescent="0.2">
      <c r="A519" s="906"/>
      <c r="B519" s="907"/>
      <c r="C519" s="907"/>
      <c r="D519" s="907"/>
      <c r="E519" s="907"/>
      <c r="F519" s="907"/>
      <c r="G519" s="907"/>
      <c r="H519" s="907"/>
      <c r="I519" s="907"/>
      <c r="J519" s="908"/>
    </row>
    <row r="520" spans="1:10" x14ac:dyDescent="0.2">
      <c r="A520" s="906"/>
      <c r="B520" s="907"/>
      <c r="C520" s="907"/>
      <c r="D520" s="907"/>
      <c r="E520" s="907"/>
      <c r="F520" s="907"/>
      <c r="G520" s="907"/>
      <c r="H520" s="907"/>
      <c r="I520" s="907"/>
      <c r="J520" s="908"/>
    </row>
    <row r="521" spans="1:10" x14ac:dyDescent="0.2">
      <c r="A521" s="906"/>
      <c r="B521" s="907"/>
      <c r="C521" s="907"/>
      <c r="D521" s="907"/>
      <c r="E521" s="907"/>
      <c r="F521" s="907"/>
      <c r="G521" s="907"/>
      <c r="H521" s="907"/>
      <c r="I521" s="907"/>
      <c r="J521" s="908"/>
    </row>
    <row r="522" spans="1:10" x14ac:dyDescent="0.2">
      <c r="A522" s="906"/>
      <c r="B522" s="907"/>
      <c r="C522" s="907"/>
      <c r="D522" s="907"/>
      <c r="E522" s="907"/>
      <c r="F522" s="907"/>
      <c r="G522" s="907"/>
      <c r="H522" s="907"/>
      <c r="I522" s="907"/>
      <c r="J522" s="908"/>
    </row>
    <row r="523" spans="1:10" x14ac:dyDescent="0.2">
      <c r="A523" s="906"/>
      <c r="B523" s="907"/>
      <c r="C523" s="907"/>
      <c r="D523" s="907"/>
      <c r="E523" s="907"/>
      <c r="F523" s="907"/>
      <c r="G523" s="907"/>
      <c r="H523" s="907"/>
      <c r="I523" s="907"/>
      <c r="J523" s="908"/>
    </row>
    <row r="524" spans="1:10" x14ac:dyDescent="0.2">
      <c r="A524" s="906"/>
      <c r="B524" s="907"/>
      <c r="C524" s="907"/>
      <c r="D524" s="907"/>
      <c r="E524" s="907"/>
      <c r="F524" s="907"/>
      <c r="G524" s="907"/>
      <c r="H524" s="907"/>
      <c r="I524" s="907"/>
      <c r="J524" s="908"/>
    </row>
    <row r="525" spans="1:10" x14ac:dyDescent="0.2">
      <c r="A525" s="906"/>
      <c r="B525" s="907"/>
      <c r="C525" s="907"/>
      <c r="D525" s="907"/>
      <c r="E525" s="907"/>
      <c r="F525" s="907"/>
      <c r="G525" s="907"/>
      <c r="H525" s="907"/>
      <c r="I525" s="907"/>
      <c r="J525" s="908"/>
    </row>
    <row r="526" spans="1:10" x14ac:dyDescent="0.2">
      <c r="A526" s="906"/>
      <c r="B526" s="907"/>
      <c r="C526" s="907"/>
      <c r="D526" s="907"/>
      <c r="E526" s="907"/>
      <c r="F526" s="907"/>
      <c r="G526" s="907"/>
      <c r="H526" s="907"/>
      <c r="I526" s="907"/>
      <c r="J526" s="908"/>
    </row>
    <row r="527" spans="1:10" x14ac:dyDescent="0.2">
      <c r="A527" s="906"/>
      <c r="B527" s="907"/>
      <c r="C527" s="907"/>
      <c r="D527" s="907"/>
      <c r="E527" s="907"/>
      <c r="F527" s="907"/>
      <c r="G527" s="907"/>
      <c r="H527" s="907"/>
      <c r="I527" s="907"/>
      <c r="J527" s="908"/>
    </row>
    <row r="528" spans="1:10" x14ac:dyDescent="0.2">
      <c r="A528" s="906"/>
      <c r="B528" s="907"/>
      <c r="C528" s="907"/>
      <c r="D528" s="907"/>
      <c r="E528" s="907"/>
      <c r="F528" s="907"/>
      <c r="G528" s="907"/>
      <c r="H528" s="907"/>
      <c r="I528" s="907"/>
      <c r="J528" s="908"/>
    </row>
    <row r="529" spans="1:10" x14ac:dyDescent="0.2">
      <c r="A529" s="906"/>
      <c r="B529" s="907"/>
      <c r="C529" s="907"/>
      <c r="D529" s="907"/>
      <c r="E529" s="907"/>
      <c r="F529" s="907"/>
      <c r="G529" s="907"/>
      <c r="H529" s="907"/>
      <c r="I529" s="907"/>
      <c r="J529" s="908"/>
    </row>
    <row r="530" spans="1:10" x14ac:dyDescent="0.2">
      <c r="A530" s="906"/>
      <c r="B530" s="907"/>
      <c r="C530" s="907"/>
      <c r="D530" s="907"/>
      <c r="E530" s="907"/>
      <c r="F530" s="907"/>
      <c r="G530" s="907"/>
      <c r="H530" s="907"/>
      <c r="I530" s="907"/>
      <c r="J530" s="908"/>
    </row>
    <row r="531" spans="1:10" x14ac:dyDescent="0.2">
      <c r="A531" s="906"/>
      <c r="B531" s="907"/>
      <c r="C531" s="907"/>
      <c r="D531" s="907"/>
      <c r="E531" s="907"/>
      <c r="F531" s="907"/>
      <c r="G531" s="907"/>
      <c r="H531" s="907"/>
      <c r="I531" s="907"/>
      <c r="J531" s="908"/>
    </row>
    <row r="532" spans="1:10" x14ac:dyDescent="0.2">
      <c r="A532" s="906"/>
      <c r="B532" s="907"/>
      <c r="C532" s="907"/>
      <c r="D532" s="907"/>
      <c r="E532" s="907"/>
      <c r="F532" s="907"/>
      <c r="G532" s="907"/>
      <c r="H532" s="907"/>
      <c r="I532" s="907"/>
      <c r="J532" s="908"/>
    </row>
    <row r="533" spans="1:10" x14ac:dyDescent="0.2">
      <c r="A533" s="906"/>
      <c r="B533" s="907"/>
      <c r="C533" s="907"/>
      <c r="D533" s="907"/>
      <c r="E533" s="907"/>
      <c r="F533" s="907"/>
      <c r="G533" s="907"/>
      <c r="H533" s="907"/>
      <c r="I533" s="907"/>
      <c r="J533" s="908"/>
    </row>
    <row r="534" spans="1:10" x14ac:dyDescent="0.2">
      <c r="A534" s="906"/>
      <c r="B534" s="907"/>
      <c r="C534" s="907"/>
      <c r="D534" s="907"/>
      <c r="E534" s="907"/>
      <c r="F534" s="907"/>
      <c r="G534" s="907"/>
      <c r="H534" s="907"/>
      <c r="I534" s="907"/>
      <c r="J534" s="908"/>
    </row>
    <row r="535" spans="1:10" x14ac:dyDescent="0.2">
      <c r="A535" s="906"/>
      <c r="B535" s="907"/>
      <c r="C535" s="907"/>
      <c r="D535" s="907"/>
      <c r="E535" s="907"/>
      <c r="F535" s="907"/>
      <c r="G535" s="907"/>
      <c r="H535" s="907"/>
      <c r="I535" s="907"/>
      <c r="J535" s="908"/>
    </row>
    <row r="536" spans="1:10" x14ac:dyDescent="0.2">
      <c r="A536" s="906"/>
      <c r="B536" s="907"/>
      <c r="C536" s="907"/>
      <c r="D536" s="907"/>
      <c r="E536" s="907"/>
      <c r="F536" s="907"/>
      <c r="G536" s="907"/>
      <c r="H536" s="907"/>
      <c r="I536" s="907"/>
      <c r="J536" s="908"/>
    </row>
    <row r="537" spans="1:10" x14ac:dyDescent="0.2">
      <c r="A537" s="906"/>
      <c r="B537" s="907"/>
      <c r="C537" s="907"/>
      <c r="D537" s="907"/>
      <c r="E537" s="907"/>
      <c r="F537" s="907"/>
      <c r="G537" s="907"/>
      <c r="H537" s="907"/>
      <c r="I537" s="907"/>
      <c r="J537" s="908"/>
    </row>
    <row r="538" spans="1:10" x14ac:dyDescent="0.2">
      <c r="A538" s="906"/>
      <c r="B538" s="907"/>
      <c r="C538" s="907"/>
      <c r="D538" s="907"/>
      <c r="E538" s="907"/>
      <c r="F538" s="907"/>
      <c r="G538" s="907"/>
      <c r="H538" s="907"/>
      <c r="I538" s="907"/>
      <c r="J538" s="908"/>
    </row>
    <row r="539" spans="1:10" x14ac:dyDescent="0.2">
      <c r="A539" s="906"/>
      <c r="B539" s="907"/>
      <c r="C539" s="907"/>
      <c r="D539" s="907"/>
      <c r="E539" s="907"/>
      <c r="F539" s="907"/>
      <c r="G539" s="907"/>
      <c r="H539" s="907"/>
      <c r="I539" s="907"/>
      <c r="J539" s="908"/>
    </row>
    <row r="540" spans="1:10" x14ac:dyDescent="0.2">
      <c r="A540" s="906"/>
      <c r="B540" s="907"/>
      <c r="C540" s="907"/>
      <c r="D540" s="907"/>
      <c r="E540" s="907"/>
      <c r="F540" s="907"/>
      <c r="G540" s="907"/>
      <c r="H540" s="907"/>
      <c r="I540" s="907"/>
      <c r="J540" s="908"/>
    </row>
    <row r="541" spans="1:10" x14ac:dyDescent="0.2">
      <c r="A541" s="906"/>
      <c r="B541" s="907"/>
      <c r="C541" s="907"/>
      <c r="D541" s="907"/>
      <c r="E541" s="907"/>
      <c r="F541" s="907"/>
      <c r="G541" s="907"/>
      <c r="H541" s="907"/>
      <c r="I541" s="907"/>
      <c r="J541" s="908"/>
    </row>
    <row r="542" spans="1:10" x14ac:dyDescent="0.2">
      <c r="A542" s="906"/>
      <c r="B542" s="907"/>
      <c r="C542" s="907"/>
      <c r="D542" s="907"/>
      <c r="E542" s="907"/>
      <c r="F542" s="907"/>
      <c r="G542" s="907"/>
      <c r="H542" s="907"/>
      <c r="I542" s="907"/>
      <c r="J542" s="908"/>
    </row>
    <row r="543" spans="1:10" x14ac:dyDescent="0.2">
      <c r="A543" s="906"/>
      <c r="B543" s="907"/>
      <c r="C543" s="907"/>
      <c r="D543" s="907"/>
      <c r="E543" s="907"/>
      <c r="F543" s="907"/>
      <c r="G543" s="907"/>
      <c r="H543" s="907"/>
      <c r="I543" s="907"/>
      <c r="J543" s="908"/>
    </row>
    <row r="544" spans="1:10" x14ac:dyDescent="0.2">
      <c r="A544" s="906"/>
      <c r="B544" s="907"/>
      <c r="C544" s="907"/>
      <c r="D544" s="907"/>
      <c r="E544" s="907"/>
      <c r="F544" s="907"/>
      <c r="G544" s="907"/>
      <c r="H544" s="907"/>
      <c r="I544" s="907"/>
      <c r="J544" s="908"/>
    </row>
    <row r="545" spans="1:10" x14ac:dyDescent="0.2">
      <c r="A545" s="906"/>
      <c r="B545" s="907"/>
      <c r="C545" s="907"/>
      <c r="D545" s="907"/>
      <c r="E545" s="907"/>
      <c r="F545" s="907"/>
      <c r="G545" s="907"/>
      <c r="H545" s="907"/>
      <c r="I545" s="907"/>
      <c r="J545" s="908"/>
    </row>
    <row r="546" spans="1:10" x14ac:dyDescent="0.2">
      <c r="A546" s="906"/>
      <c r="B546" s="907"/>
      <c r="C546" s="907"/>
      <c r="D546" s="907"/>
      <c r="E546" s="907"/>
      <c r="F546" s="907"/>
      <c r="G546" s="907"/>
      <c r="H546" s="907"/>
      <c r="I546" s="907"/>
      <c r="J546" s="908"/>
    </row>
    <row r="547" spans="1:10" x14ac:dyDescent="0.2">
      <c r="A547" s="906"/>
      <c r="B547" s="907"/>
      <c r="C547" s="907"/>
      <c r="D547" s="907"/>
      <c r="E547" s="907"/>
      <c r="F547" s="907"/>
      <c r="G547" s="907"/>
      <c r="H547" s="907"/>
      <c r="I547" s="907"/>
      <c r="J547" s="908"/>
    </row>
    <row r="548" spans="1:10" x14ac:dyDescent="0.2">
      <c r="A548" s="906"/>
      <c r="B548" s="907"/>
      <c r="C548" s="907"/>
      <c r="D548" s="907"/>
      <c r="E548" s="907"/>
      <c r="F548" s="907"/>
      <c r="G548" s="907"/>
      <c r="H548" s="907"/>
      <c r="I548" s="907"/>
      <c r="J548" s="908"/>
    </row>
    <row r="549" spans="1:10" x14ac:dyDescent="0.2">
      <c r="A549" s="906"/>
      <c r="B549" s="907"/>
      <c r="C549" s="907"/>
      <c r="D549" s="907"/>
      <c r="E549" s="907"/>
      <c r="F549" s="907"/>
      <c r="G549" s="907"/>
      <c r="H549" s="907"/>
      <c r="I549" s="907"/>
      <c r="J549" s="908"/>
    </row>
    <row r="550" spans="1:10" x14ac:dyDescent="0.2">
      <c r="A550" s="906"/>
      <c r="B550" s="907"/>
      <c r="C550" s="907"/>
      <c r="D550" s="907"/>
      <c r="E550" s="907"/>
      <c r="F550" s="907"/>
      <c r="G550" s="907"/>
      <c r="H550" s="907"/>
      <c r="I550" s="907"/>
      <c r="J550" s="908"/>
    </row>
    <row r="551" spans="1:10" x14ac:dyDescent="0.2">
      <c r="A551" s="906"/>
      <c r="B551" s="907"/>
      <c r="C551" s="907"/>
      <c r="D551" s="907"/>
      <c r="E551" s="907"/>
      <c r="F551" s="907"/>
      <c r="G551" s="907"/>
      <c r="H551" s="907"/>
      <c r="I551" s="907"/>
      <c r="J551" s="908"/>
    </row>
    <row r="552" spans="1:10" x14ac:dyDescent="0.2">
      <c r="A552" s="906"/>
      <c r="B552" s="907"/>
      <c r="C552" s="907"/>
      <c r="D552" s="907"/>
      <c r="E552" s="907"/>
      <c r="F552" s="907"/>
      <c r="G552" s="907"/>
      <c r="H552" s="907"/>
      <c r="I552" s="907"/>
      <c r="J552" s="908"/>
    </row>
    <row r="553" spans="1:10" x14ac:dyDescent="0.2">
      <c r="A553" s="906"/>
      <c r="B553" s="907"/>
      <c r="C553" s="907"/>
      <c r="D553" s="907"/>
      <c r="E553" s="907"/>
      <c r="F553" s="907"/>
      <c r="G553" s="907"/>
      <c r="H553" s="907"/>
      <c r="I553" s="907"/>
      <c r="J553" s="908"/>
    </row>
    <row r="554" spans="1:10" x14ac:dyDescent="0.2">
      <c r="A554" s="906"/>
      <c r="B554" s="907"/>
      <c r="C554" s="907"/>
      <c r="D554" s="907"/>
      <c r="E554" s="907"/>
      <c r="F554" s="907"/>
      <c r="G554" s="907"/>
      <c r="H554" s="907"/>
      <c r="I554" s="907"/>
      <c r="J554" s="908"/>
    </row>
    <row r="555" spans="1:10" x14ac:dyDescent="0.2">
      <c r="A555" s="906"/>
      <c r="B555" s="907"/>
      <c r="C555" s="907"/>
      <c r="D555" s="907"/>
      <c r="E555" s="907"/>
      <c r="F555" s="907"/>
      <c r="G555" s="907"/>
      <c r="H555" s="907"/>
      <c r="I555" s="907"/>
      <c r="J555" s="908"/>
    </row>
    <row r="556" spans="1:10" x14ac:dyDescent="0.2">
      <c r="A556" s="906"/>
      <c r="B556" s="907"/>
      <c r="C556" s="907"/>
      <c r="D556" s="907"/>
      <c r="E556" s="907"/>
      <c r="F556" s="907"/>
      <c r="G556" s="907"/>
      <c r="H556" s="907"/>
      <c r="I556" s="907"/>
      <c r="J556" s="908"/>
    </row>
    <row r="557" spans="1:10" x14ac:dyDescent="0.2">
      <c r="A557" s="906"/>
      <c r="B557" s="907"/>
      <c r="C557" s="907"/>
      <c r="D557" s="907"/>
      <c r="E557" s="907"/>
      <c r="F557" s="907"/>
      <c r="G557" s="907"/>
      <c r="H557" s="907"/>
      <c r="I557" s="907"/>
      <c r="J557" s="908"/>
    </row>
    <row r="558" spans="1:10" x14ac:dyDescent="0.2">
      <c r="A558" s="906"/>
      <c r="B558" s="907"/>
      <c r="C558" s="907"/>
      <c r="D558" s="907"/>
      <c r="E558" s="907"/>
      <c r="F558" s="907"/>
      <c r="G558" s="907"/>
      <c r="H558" s="907"/>
      <c r="I558" s="907"/>
      <c r="J558" s="908"/>
    </row>
    <row r="559" spans="1:10" x14ac:dyDescent="0.2">
      <c r="A559" s="906"/>
      <c r="B559" s="907"/>
      <c r="C559" s="907"/>
      <c r="D559" s="907"/>
      <c r="E559" s="907"/>
      <c r="F559" s="907"/>
      <c r="G559" s="907"/>
      <c r="H559" s="907"/>
      <c r="I559" s="907"/>
      <c r="J559" s="908"/>
    </row>
    <row r="560" spans="1:10" x14ac:dyDescent="0.2">
      <c r="A560" s="906"/>
      <c r="B560" s="907"/>
      <c r="C560" s="907"/>
      <c r="D560" s="907"/>
      <c r="E560" s="907"/>
      <c r="F560" s="907"/>
      <c r="G560" s="907"/>
      <c r="H560" s="907"/>
      <c r="I560" s="907"/>
      <c r="J560" s="908"/>
    </row>
    <row r="561" spans="1:10" x14ac:dyDescent="0.2">
      <c r="A561" s="906"/>
      <c r="B561" s="907"/>
      <c r="C561" s="907"/>
      <c r="D561" s="907"/>
      <c r="E561" s="907"/>
      <c r="F561" s="907"/>
      <c r="G561" s="907"/>
      <c r="H561" s="907"/>
      <c r="I561" s="907"/>
      <c r="J561" s="908"/>
    </row>
    <row r="562" spans="1:10" x14ac:dyDescent="0.2">
      <c r="A562" s="906"/>
      <c r="B562" s="907"/>
      <c r="C562" s="907"/>
      <c r="D562" s="907"/>
      <c r="E562" s="907"/>
      <c r="F562" s="907"/>
      <c r="G562" s="907"/>
      <c r="H562" s="907"/>
      <c r="I562" s="907"/>
      <c r="J562" s="908"/>
    </row>
    <row r="563" spans="1:10" x14ac:dyDescent="0.2">
      <c r="A563" s="906"/>
      <c r="B563" s="907"/>
      <c r="C563" s="907"/>
      <c r="D563" s="907"/>
      <c r="E563" s="907"/>
      <c r="F563" s="907"/>
      <c r="G563" s="907"/>
      <c r="H563" s="907"/>
      <c r="I563" s="907"/>
      <c r="J563" s="908"/>
    </row>
    <row r="564" spans="1:10" x14ac:dyDescent="0.2">
      <c r="A564" s="906"/>
      <c r="B564" s="907"/>
      <c r="C564" s="907"/>
      <c r="D564" s="907"/>
      <c r="E564" s="907"/>
      <c r="F564" s="907"/>
      <c r="G564" s="907"/>
      <c r="H564" s="907"/>
      <c r="I564" s="907"/>
      <c r="J564" s="908"/>
    </row>
    <row r="565" spans="1:10" x14ac:dyDescent="0.2">
      <c r="A565" s="906"/>
      <c r="B565" s="907"/>
      <c r="C565" s="907"/>
      <c r="D565" s="907"/>
      <c r="E565" s="907"/>
      <c r="F565" s="907"/>
      <c r="G565" s="907"/>
      <c r="H565" s="907"/>
      <c r="I565" s="907"/>
      <c r="J565" s="908"/>
    </row>
    <row r="566" spans="1:10" x14ac:dyDescent="0.2">
      <c r="A566" s="906"/>
      <c r="B566" s="907"/>
      <c r="C566" s="907"/>
      <c r="D566" s="907"/>
      <c r="E566" s="907"/>
      <c r="F566" s="907"/>
      <c r="G566" s="907"/>
      <c r="H566" s="907"/>
      <c r="I566" s="907"/>
      <c r="J566" s="908"/>
    </row>
    <row r="567" spans="1:10" x14ac:dyDescent="0.2">
      <c r="A567" s="906"/>
      <c r="B567" s="907"/>
      <c r="C567" s="907"/>
      <c r="D567" s="907"/>
      <c r="E567" s="907"/>
      <c r="F567" s="907"/>
      <c r="G567" s="907"/>
      <c r="H567" s="907"/>
      <c r="I567" s="907"/>
      <c r="J567" s="908"/>
    </row>
    <row r="568" spans="1:10" x14ac:dyDescent="0.2">
      <c r="A568" s="906"/>
      <c r="B568" s="907"/>
      <c r="C568" s="907"/>
      <c r="D568" s="907"/>
      <c r="E568" s="907"/>
      <c r="F568" s="907"/>
      <c r="G568" s="907"/>
      <c r="H568" s="907"/>
      <c r="I568" s="907"/>
      <c r="J568" s="908"/>
    </row>
    <row r="569" spans="1:10" x14ac:dyDescent="0.2">
      <c r="A569" s="906"/>
      <c r="B569" s="907"/>
      <c r="C569" s="907"/>
      <c r="D569" s="907"/>
      <c r="E569" s="907"/>
      <c r="F569" s="907"/>
      <c r="G569" s="907"/>
      <c r="H569" s="907"/>
      <c r="I569" s="907"/>
      <c r="J569" s="908"/>
    </row>
    <row r="570" spans="1:10" x14ac:dyDescent="0.2">
      <c r="A570" s="906"/>
      <c r="B570" s="907"/>
      <c r="C570" s="907"/>
      <c r="D570" s="907"/>
      <c r="E570" s="907"/>
      <c r="F570" s="907"/>
      <c r="G570" s="907"/>
      <c r="H570" s="907"/>
      <c r="I570" s="907"/>
      <c r="J570" s="908"/>
    </row>
    <row r="571" spans="1:10" x14ac:dyDescent="0.2">
      <c r="A571" s="906"/>
      <c r="B571" s="907"/>
      <c r="C571" s="907"/>
      <c r="D571" s="907"/>
      <c r="E571" s="907"/>
      <c r="F571" s="907"/>
      <c r="G571" s="907"/>
      <c r="H571" s="907"/>
      <c r="I571" s="907"/>
      <c r="J571" s="908"/>
    </row>
    <row r="572" spans="1:10" x14ac:dyDescent="0.2">
      <c r="A572" s="906"/>
      <c r="B572" s="907"/>
      <c r="C572" s="907"/>
      <c r="D572" s="907"/>
      <c r="E572" s="907"/>
      <c r="F572" s="907"/>
      <c r="G572" s="907"/>
      <c r="H572" s="907"/>
      <c r="I572" s="907"/>
      <c r="J572" s="908"/>
    </row>
    <row r="573" spans="1:10" x14ac:dyDescent="0.2">
      <c r="A573" s="906"/>
      <c r="B573" s="907"/>
      <c r="C573" s="907"/>
      <c r="D573" s="907"/>
      <c r="E573" s="907"/>
      <c r="F573" s="907"/>
      <c r="G573" s="907"/>
      <c r="H573" s="907"/>
      <c r="I573" s="907"/>
      <c r="J573" s="908"/>
    </row>
    <row r="574" spans="1:10" x14ac:dyDescent="0.2">
      <c r="A574" s="906"/>
      <c r="B574" s="907"/>
      <c r="C574" s="907"/>
      <c r="D574" s="907"/>
      <c r="E574" s="907"/>
      <c r="F574" s="907"/>
      <c r="G574" s="907"/>
      <c r="H574" s="907"/>
      <c r="I574" s="907"/>
      <c r="J574" s="908"/>
    </row>
    <row r="575" spans="1:10" x14ac:dyDescent="0.2">
      <c r="A575" s="906"/>
      <c r="B575" s="907"/>
      <c r="C575" s="907"/>
      <c r="D575" s="907"/>
      <c r="E575" s="907"/>
      <c r="F575" s="907"/>
      <c r="G575" s="907"/>
      <c r="H575" s="907"/>
      <c r="I575" s="907"/>
      <c r="J575" s="908"/>
    </row>
    <row r="576" spans="1:10" x14ac:dyDescent="0.2">
      <c r="A576" s="906"/>
      <c r="B576" s="907"/>
      <c r="C576" s="907"/>
      <c r="D576" s="907"/>
      <c r="E576" s="907"/>
      <c r="F576" s="907"/>
      <c r="G576" s="907"/>
      <c r="H576" s="907"/>
      <c r="I576" s="907"/>
      <c r="J576" s="908"/>
    </row>
    <row r="577" spans="1:10" x14ac:dyDescent="0.2">
      <c r="A577" s="906"/>
      <c r="B577" s="907"/>
      <c r="C577" s="907"/>
      <c r="D577" s="907"/>
      <c r="E577" s="907"/>
      <c r="F577" s="907"/>
      <c r="G577" s="907"/>
      <c r="H577" s="907"/>
      <c r="I577" s="907"/>
      <c r="J577" s="908"/>
    </row>
    <row r="578" spans="1:10" x14ac:dyDescent="0.2">
      <c r="A578" s="906"/>
      <c r="B578" s="907"/>
      <c r="C578" s="907"/>
      <c r="D578" s="907"/>
      <c r="E578" s="907"/>
      <c r="F578" s="907"/>
      <c r="G578" s="907"/>
      <c r="H578" s="907"/>
      <c r="I578" s="907"/>
      <c r="J578" s="908"/>
    </row>
    <row r="579" spans="1:10" x14ac:dyDescent="0.2">
      <c r="A579" s="906"/>
      <c r="B579" s="907"/>
      <c r="C579" s="907"/>
      <c r="D579" s="907"/>
      <c r="E579" s="907"/>
      <c r="F579" s="907"/>
      <c r="G579" s="907"/>
      <c r="H579" s="907"/>
      <c r="I579" s="907"/>
      <c r="J579" s="908"/>
    </row>
    <row r="580" spans="1:10" x14ac:dyDescent="0.2">
      <c r="A580" s="906"/>
      <c r="B580" s="907"/>
      <c r="C580" s="907"/>
      <c r="D580" s="907"/>
      <c r="E580" s="907"/>
      <c r="F580" s="907"/>
      <c r="G580" s="907"/>
      <c r="H580" s="907"/>
      <c r="I580" s="907"/>
      <c r="J580" s="908"/>
    </row>
    <row r="581" spans="1:10" x14ac:dyDescent="0.2">
      <c r="A581" s="906"/>
      <c r="B581" s="907"/>
      <c r="C581" s="907"/>
      <c r="D581" s="907"/>
      <c r="E581" s="907"/>
      <c r="F581" s="907"/>
      <c r="G581" s="907"/>
      <c r="H581" s="907"/>
      <c r="I581" s="907"/>
      <c r="J581" s="908"/>
    </row>
    <row r="582" spans="1:10" x14ac:dyDescent="0.2">
      <c r="A582" s="906"/>
      <c r="B582" s="907"/>
      <c r="C582" s="907"/>
      <c r="D582" s="907"/>
      <c r="E582" s="907"/>
      <c r="F582" s="907"/>
      <c r="G582" s="907"/>
      <c r="H582" s="907"/>
      <c r="I582" s="907"/>
      <c r="J582" s="908"/>
    </row>
    <row r="583" spans="1:10" x14ac:dyDescent="0.2">
      <c r="A583" s="906"/>
      <c r="B583" s="907"/>
      <c r="C583" s="907"/>
      <c r="D583" s="907"/>
      <c r="E583" s="907"/>
      <c r="F583" s="907"/>
      <c r="G583" s="907"/>
      <c r="H583" s="907"/>
      <c r="I583" s="907"/>
      <c r="J583" s="908"/>
    </row>
    <row r="584" spans="1:10" x14ac:dyDescent="0.2">
      <c r="A584" s="906"/>
      <c r="B584" s="907"/>
      <c r="C584" s="907"/>
      <c r="D584" s="907"/>
      <c r="E584" s="907"/>
      <c r="F584" s="907"/>
      <c r="G584" s="907"/>
      <c r="H584" s="907"/>
      <c r="I584" s="907"/>
      <c r="J584" s="908"/>
    </row>
    <row r="585" spans="1:10" x14ac:dyDescent="0.2">
      <c r="A585" s="906"/>
      <c r="B585" s="907"/>
      <c r="C585" s="907"/>
      <c r="D585" s="907"/>
      <c r="E585" s="907"/>
      <c r="F585" s="907"/>
      <c r="G585" s="907"/>
      <c r="H585" s="907"/>
      <c r="I585" s="907"/>
      <c r="J585" s="908"/>
    </row>
    <row r="586" spans="1:10" x14ac:dyDescent="0.2">
      <c r="A586" s="906"/>
      <c r="B586" s="907"/>
      <c r="C586" s="907"/>
      <c r="D586" s="907"/>
      <c r="E586" s="907"/>
      <c r="F586" s="907"/>
      <c r="G586" s="907"/>
      <c r="H586" s="907"/>
      <c r="I586" s="907"/>
      <c r="J586" s="908"/>
    </row>
    <row r="587" spans="1:10" x14ac:dyDescent="0.2">
      <c r="A587" s="906"/>
      <c r="B587" s="907"/>
      <c r="C587" s="907"/>
      <c r="D587" s="907"/>
      <c r="E587" s="907"/>
      <c r="F587" s="907"/>
      <c r="G587" s="907"/>
      <c r="H587" s="907"/>
      <c r="I587" s="907"/>
      <c r="J587" s="908"/>
    </row>
    <row r="588" spans="1:10" x14ac:dyDescent="0.2">
      <c r="A588" s="906"/>
      <c r="B588" s="907"/>
      <c r="C588" s="907"/>
      <c r="D588" s="907"/>
      <c r="E588" s="907"/>
      <c r="F588" s="907"/>
      <c r="G588" s="907"/>
      <c r="H588" s="907"/>
      <c r="I588" s="907"/>
      <c r="J588" s="908"/>
    </row>
    <row r="589" spans="1:10" x14ac:dyDescent="0.2">
      <c r="A589" s="906"/>
      <c r="B589" s="907"/>
      <c r="C589" s="907"/>
      <c r="D589" s="907"/>
      <c r="E589" s="907"/>
      <c r="F589" s="907"/>
      <c r="G589" s="907"/>
      <c r="H589" s="907"/>
      <c r="I589" s="907"/>
      <c r="J589" s="908"/>
    </row>
    <row r="590" spans="1:10" x14ac:dyDescent="0.2">
      <c r="A590" s="906"/>
      <c r="B590" s="907"/>
      <c r="C590" s="907"/>
      <c r="D590" s="907"/>
      <c r="E590" s="907"/>
      <c r="F590" s="907"/>
      <c r="G590" s="907"/>
      <c r="H590" s="907"/>
      <c r="I590" s="907"/>
      <c r="J590" s="908"/>
    </row>
    <row r="591" spans="1:10" x14ac:dyDescent="0.2">
      <c r="A591" s="906"/>
      <c r="B591" s="907"/>
      <c r="C591" s="907"/>
      <c r="D591" s="907"/>
      <c r="E591" s="907"/>
      <c r="F591" s="907"/>
      <c r="G591" s="907"/>
      <c r="H591" s="907"/>
      <c r="I591" s="907"/>
      <c r="J591" s="908"/>
    </row>
    <row r="592" spans="1:10" x14ac:dyDescent="0.2">
      <c r="A592" s="906"/>
      <c r="B592" s="907"/>
      <c r="C592" s="907"/>
      <c r="D592" s="907"/>
      <c r="E592" s="907"/>
      <c r="F592" s="907"/>
      <c r="G592" s="907"/>
      <c r="H592" s="907"/>
      <c r="I592" s="907"/>
      <c r="J592" s="908"/>
    </row>
    <row r="593" spans="1:10" x14ac:dyDescent="0.2">
      <c r="A593" s="906"/>
      <c r="B593" s="907"/>
      <c r="C593" s="907"/>
      <c r="D593" s="907"/>
      <c r="E593" s="907"/>
      <c r="F593" s="907"/>
      <c r="G593" s="907"/>
      <c r="H593" s="907"/>
      <c r="I593" s="907"/>
      <c r="J593" s="908"/>
    </row>
    <row r="594" spans="1:10" x14ac:dyDescent="0.2">
      <c r="A594" s="906"/>
      <c r="B594" s="907"/>
      <c r="C594" s="907"/>
      <c r="D594" s="907"/>
      <c r="E594" s="907"/>
      <c r="F594" s="907"/>
      <c r="G594" s="907"/>
      <c r="H594" s="907"/>
      <c r="I594" s="907"/>
      <c r="J594" s="908"/>
    </row>
    <row r="595" spans="1:10" x14ac:dyDescent="0.2">
      <c r="A595" s="906"/>
      <c r="B595" s="907"/>
      <c r="C595" s="907"/>
      <c r="D595" s="907"/>
      <c r="E595" s="907"/>
      <c r="F595" s="907"/>
      <c r="G595" s="907"/>
      <c r="H595" s="907"/>
      <c r="I595" s="907"/>
      <c r="J595" s="908"/>
    </row>
    <row r="596" spans="1:10" x14ac:dyDescent="0.2">
      <c r="A596" s="906"/>
      <c r="B596" s="907"/>
      <c r="C596" s="907"/>
      <c r="D596" s="907"/>
      <c r="E596" s="907"/>
      <c r="F596" s="907"/>
      <c r="G596" s="907"/>
      <c r="H596" s="907"/>
      <c r="I596" s="907"/>
      <c r="J596" s="908"/>
    </row>
    <row r="597" spans="1:10" x14ac:dyDescent="0.2">
      <c r="A597" s="906"/>
      <c r="B597" s="907"/>
      <c r="C597" s="907"/>
      <c r="D597" s="907"/>
      <c r="E597" s="907"/>
      <c r="F597" s="907"/>
      <c r="G597" s="907"/>
      <c r="H597" s="907"/>
      <c r="I597" s="907"/>
      <c r="J597" s="908"/>
    </row>
    <row r="598" spans="1:10" x14ac:dyDescent="0.2">
      <c r="A598" s="906"/>
      <c r="B598" s="907"/>
      <c r="C598" s="907"/>
      <c r="D598" s="907"/>
      <c r="E598" s="907"/>
      <c r="F598" s="907"/>
      <c r="G598" s="907"/>
      <c r="H598" s="907"/>
      <c r="I598" s="907"/>
      <c r="J598" s="908"/>
    </row>
    <row r="599" spans="1:10" x14ac:dyDescent="0.2">
      <c r="A599" s="906"/>
      <c r="B599" s="907"/>
      <c r="C599" s="907"/>
      <c r="D599" s="907"/>
      <c r="E599" s="907"/>
      <c r="F599" s="907"/>
      <c r="G599" s="907"/>
      <c r="H599" s="907"/>
      <c r="I599" s="907"/>
      <c r="J599" s="908"/>
    </row>
    <row r="600" spans="1:10" x14ac:dyDescent="0.2">
      <c r="A600" s="906"/>
      <c r="B600" s="907"/>
      <c r="C600" s="907"/>
      <c r="D600" s="907"/>
      <c r="E600" s="907"/>
      <c r="F600" s="907"/>
      <c r="G600" s="907"/>
      <c r="H600" s="907"/>
      <c r="I600" s="907"/>
      <c r="J600" s="908"/>
    </row>
    <row r="601" spans="1:10" x14ac:dyDescent="0.2">
      <c r="A601" s="906"/>
      <c r="B601" s="907"/>
      <c r="C601" s="907"/>
      <c r="D601" s="907"/>
      <c r="E601" s="907"/>
      <c r="F601" s="907"/>
      <c r="G601" s="907"/>
      <c r="H601" s="907"/>
      <c r="I601" s="907"/>
      <c r="J601" s="908"/>
    </row>
    <row r="602" spans="1:10" x14ac:dyDescent="0.2">
      <c r="A602" s="906"/>
      <c r="B602" s="907"/>
      <c r="C602" s="907"/>
      <c r="D602" s="907"/>
      <c r="E602" s="907"/>
      <c r="F602" s="907"/>
      <c r="G602" s="907"/>
      <c r="H602" s="907"/>
      <c r="I602" s="907"/>
      <c r="J602" s="908"/>
    </row>
    <row r="603" spans="1:10" x14ac:dyDescent="0.2">
      <c r="A603" s="906"/>
      <c r="B603" s="907"/>
      <c r="C603" s="907"/>
      <c r="D603" s="907"/>
      <c r="E603" s="907"/>
      <c r="F603" s="907"/>
      <c r="G603" s="907"/>
      <c r="H603" s="907"/>
      <c r="I603" s="907"/>
      <c r="J603" s="908"/>
    </row>
    <row r="604" spans="1:10" x14ac:dyDescent="0.2">
      <c r="A604" s="906"/>
      <c r="B604" s="907"/>
      <c r="C604" s="907"/>
      <c r="D604" s="907"/>
      <c r="E604" s="907"/>
      <c r="F604" s="907"/>
      <c r="G604" s="907"/>
      <c r="H604" s="907"/>
      <c r="I604" s="907"/>
      <c r="J604" s="908"/>
    </row>
    <row r="605" spans="1:10" x14ac:dyDescent="0.2">
      <c r="A605" s="906"/>
      <c r="B605" s="907"/>
      <c r="C605" s="907"/>
      <c r="D605" s="907"/>
      <c r="E605" s="907"/>
      <c r="F605" s="907"/>
      <c r="G605" s="907"/>
      <c r="H605" s="907"/>
      <c r="I605" s="907"/>
      <c r="J605" s="908"/>
    </row>
    <row r="606" spans="1:10" x14ac:dyDescent="0.2">
      <c r="A606" s="906"/>
      <c r="B606" s="907"/>
      <c r="C606" s="907"/>
      <c r="D606" s="907"/>
      <c r="E606" s="907"/>
      <c r="F606" s="907"/>
      <c r="G606" s="907"/>
      <c r="H606" s="907"/>
      <c r="I606" s="907"/>
      <c r="J606" s="908"/>
    </row>
    <row r="607" spans="1:10" x14ac:dyDescent="0.2">
      <c r="A607" s="906"/>
      <c r="B607" s="907"/>
      <c r="C607" s="907"/>
      <c r="D607" s="907"/>
      <c r="E607" s="907"/>
      <c r="F607" s="907"/>
      <c r="G607" s="907"/>
      <c r="H607" s="907"/>
      <c r="I607" s="907"/>
      <c r="J607" s="908"/>
    </row>
    <row r="608" spans="1:10" x14ac:dyDescent="0.2">
      <c r="A608" s="906"/>
      <c r="B608" s="907"/>
      <c r="C608" s="907"/>
      <c r="D608" s="907"/>
      <c r="E608" s="907"/>
      <c r="F608" s="907"/>
      <c r="G608" s="907"/>
      <c r="H608" s="907"/>
      <c r="I608" s="907"/>
      <c r="J608" s="908"/>
    </row>
    <row r="609" spans="1:10" x14ac:dyDescent="0.2">
      <c r="A609" s="906"/>
      <c r="B609" s="907"/>
      <c r="C609" s="907"/>
      <c r="D609" s="907"/>
      <c r="E609" s="907"/>
      <c r="F609" s="907"/>
      <c r="G609" s="907"/>
      <c r="H609" s="907"/>
      <c r="I609" s="907"/>
      <c r="J609" s="908"/>
    </row>
    <row r="610" spans="1:10" x14ac:dyDescent="0.2">
      <c r="A610" s="906"/>
      <c r="B610" s="907"/>
      <c r="C610" s="907"/>
      <c r="D610" s="907"/>
      <c r="E610" s="907"/>
      <c r="F610" s="907"/>
      <c r="G610" s="907"/>
      <c r="H610" s="907"/>
      <c r="I610" s="907"/>
      <c r="J610" s="908"/>
    </row>
    <row r="611" spans="1:10" x14ac:dyDescent="0.2">
      <c r="A611" s="906"/>
      <c r="B611" s="907"/>
      <c r="C611" s="907"/>
      <c r="D611" s="907"/>
      <c r="E611" s="907"/>
      <c r="F611" s="907"/>
      <c r="G611" s="907"/>
      <c r="H611" s="907"/>
      <c r="I611" s="907"/>
      <c r="J611" s="908"/>
    </row>
    <row r="612" spans="1:10" x14ac:dyDescent="0.2">
      <c r="A612" s="906"/>
      <c r="B612" s="907"/>
      <c r="C612" s="907"/>
      <c r="D612" s="907"/>
      <c r="E612" s="907"/>
      <c r="F612" s="907"/>
      <c r="G612" s="907"/>
      <c r="H612" s="907"/>
      <c r="I612" s="907"/>
      <c r="J612" s="908"/>
    </row>
    <row r="613" spans="1:10" x14ac:dyDescent="0.2">
      <c r="A613" s="906"/>
      <c r="B613" s="907"/>
      <c r="C613" s="907"/>
      <c r="D613" s="907"/>
      <c r="E613" s="907"/>
      <c r="F613" s="907"/>
      <c r="G613" s="907"/>
      <c r="H613" s="907"/>
      <c r="I613" s="907"/>
      <c r="J613" s="908"/>
    </row>
    <row r="614" spans="1:10" x14ac:dyDescent="0.2">
      <c r="A614" s="906"/>
      <c r="B614" s="907"/>
      <c r="C614" s="907"/>
      <c r="D614" s="907"/>
      <c r="E614" s="907"/>
      <c r="F614" s="907"/>
      <c r="G614" s="907"/>
      <c r="H614" s="907"/>
      <c r="I614" s="907"/>
      <c r="J614" s="908"/>
    </row>
    <row r="615" spans="1:10" x14ac:dyDescent="0.2">
      <c r="A615" s="906"/>
      <c r="B615" s="907"/>
      <c r="C615" s="907"/>
      <c r="D615" s="907"/>
      <c r="E615" s="907"/>
      <c r="F615" s="907"/>
      <c r="G615" s="907"/>
      <c r="H615" s="907"/>
      <c r="I615" s="907"/>
      <c r="J615" s="908"/>
    </row>
    <row r="616" spans="1:10" x14ac:dyDescent="0.2">
      <c r="A616" s="906"/>
      <c r="B616" s="907"/>
      <c r="C616" s="907"/>
      <c r="D616" s="907"/>
      <c r="E616" s="907"/>
      <c r="F616" s="907"/>
      <c r="G616" s="907"/>
      <c r="H616" s="907"/>
      <c r="I616" s="907"/>
      <c r="J616" s="908"/>
    </row>
    <row r="617" spans="1:10" x14ac:dyDescent="0.2">
      <c r="A617" s="906"/>
      <c r="B617" s="907"/>
      <c r="C617" s="907"/>
      <c r="D617" s="907"/>
      <c r="E617" s="907"/>
      <c r="F617" s="907"/>
      <c r="G617" s="907"/>
      <c r="H617" s="907"/>
      <c r="I617" s="907"/>
      <c r="J617" s="908"/>
    </row>
    <row r="618" spans="1:10" x14ac:dyDescent="0.2">
      <c r="A618" s="906"/>
      <c r="B618" s="907"/>
      <c r="C618" s="907"/>
      <c r="D618" s="907"/>
      <c r="E618" s="907"/>
      <c r="F618" s="907"/>
      <c r="G618" s="907"/>
      <c r="H618" s="907"/>
      <c r="I618" s="907"/>
      <c r="J618" s="908"/>
    </row>
    <row r="619" spans="1:10" x14ac:dyDescent="0.2">
      <c r="A619" s="906"/>
      <c r="B619" s="907"/>
      <c r="C619" s="907"/>
      <c r="D619" s="907"/>
      <c r="E619" s="907"/>
      <c r="F619" s="907"/>
      <c r="G619" s="907"/>
      <c r="H619" s="907"/>
      <c r="I619" s="907"/>
      <c r="J619" s="908"/>
    </row>
    <row r="620" spans="1:10" x14ac:dyDescent="0.2">
      <c r="A620" s="906"/>
      <c r="B620" s="907"/>
      <c r="C620" s="907"/>
      <c r="D620" s="907"/>
      <c r="E620" s="907"/>
      <c r="F620" s="907"/>
      <c r="G620" s="907"/>
      <c r="H620" s="907"/>
      <c r="I620" s="907"/>
      <c r="J620" s="908"/>
    </row>
    <row r="621" spans="1:10" x14ac:dyDescent="0.2">
      <c r="A621" s="906"/>
      <c r="B621" s="907"/>
      <c r="C621" s="907"/>
      <c r="D621" s="907"/>
      <c r="E621" s="907"/>
      <c r="F621" s="907"/>
      <c r="G621" s="907"/>
      <c r="H621" s="907"/>
      <c r="I621" s="907"/>
      <c r="J621" s="908"/>
    </row>
    <row r="622" spans="1:10" x14ac:dyDescent="0.2">
      <c r="A622" s="906"/>
      <c r="B622" s="907"/>
      <c r="C622" s="907"/>
      <c r="D622" s="907"/>
      <c r="E622" s="907"/>
      <c r="F622" s="907"/>
      <c r="G622" s="907"/>
      <c r="H622" s="907"/>
      <c r="I622" s="907"/>
      <c r="J622" s="908"/>
    </row>
    <row r="623" spans="1:10" x14ac:dyDescent="0.2">
      <c r="A623" s="906"/>
      <c r="B623" s="907"/>
      <c r="C623" s="907"/>
      <c r="D623" s="907"/>
      <c r="E623" s="907"/>
      <c r="F623" s="907"/>
      <c r="G623" s="907"/>
      <c r="H623" s="907"/>
      <c r="I623" s="907"/>
      <c r="J623" s="908"/>
    </row>
    <row r="624" spans="1:10" x14ac:dyDescent="0.2">
      <c r="A624" s="906"/>
      <c r="B624" s="907"/>
      <c r="C624" s="907"/>
      <c r="D624" s="907"/>
      <c r="E624" s="907"/>
      <c r="F624" s="907"/>
      <c r="G624" s="907"/>
      <c r="H624" s="907"/>
      <c r="I624" s="907"/>
      <c r="J624" s="908"/>
    </row>
    <row r="625" spans="1:10" x14ac:dyDescent="0.2">
      <c r="A625" s="906"/>
      <c r="B625" s="907"/>
      <c r="C625" s="907"/>
      <c r="D625" s="907"/>
      <c r="E625" s="907"/>
      <c r="F625" s="907"/>
      <c r="G625" s="907"/>
      <c r="H625" s="907"/>
      <c r="I625" s="907"/>
      <c r="J625" s="908"/>
    </row>
    <row r="626" spans="1:10" x14ac:dyDescent="0.2">
      <c r="A626" s="906"/>
      <c r="B626" s="907"/>
      <c r="C626" s="907"/>
      <c r="D626" s="907"/>
      <c r="E626" s="907"/>
      <c r="F626" s="907"/>
      <c r="G626" s="907"/>
      <c r="H626" s="907"/>
      <c r="I626" s="907"/>
      <c r="J626" s="908"/>
    </row>
    <row r="627" spans="1:10" x14ac:dyDescent="0.2">
      <c r="A627" s="906"/>
      <c r="B627" s="907"/>
      <c r="C627" s="907"/>
      <c r="D627" s="907"/>
      <c r="E627" s="907"/>
      <c r="F627" s="907"/>
      <c r="G627" s="907"/>
      <c r="H627" s="907"/>
      <c r="I627" s="907"/>
      <c r="J627" s="908"/>
    </row>
    <row r="628" spans="1:10" x14ac:dyDescent="0.2">
      <c r="A628" s="906"/>
      <c r="B628" s="907"/>
      <c r="C628" s="907"/>
      <c r="D628" s="907"/>
      <c r="E628" s="907"/>
      <c r="F628" s="907"/>
      <c r="G628" s="907"/>
      <c r="H628" s="907"/>
      <c r="I628" s="907"/>
      <c r="J628" s="908"/>
    </row>
    <row r="629" spans="1:10" x14ac:dyDescent="0.2">
      <c r="A629" s="906"/>
      <c r="B629" s="907"/>
      <c r="C629" s="907"/>
      <c r="D629" s="907"/>
      <c r="E629" s="907"/>
      <c r="F629" s="907"/>
      <c r="G629" s="907"/>
      <c r="H629" s="907"/>
      <c r="I629" s="907"/>
      <c r="J629" s="908"/>
    </row>
    <row r="630" spans="1:10" x14ac:dyDescent="0.2">
      <c r="A630" s="906"/>
      <c r="B630" s="907"/>
      <c r="C630" s="907"/>
      <c r="D630" s="907"/>
      <c r="E630" s="907"/>
      <c r="F630" s="907"/>
      <c r="G630" s="907"/>
      <c r="H630" s="907"/>
      <c r="I630" s="907"/>
      <c r="J630" s="908"/>
    </row>
    <row r="631" spans="1:10" x14ac:dyDescent="0.2">
      <c r="A631" s="906"/>
      <c r="B631" s="907"/>
      <c r="C631" s="907"/>
      <c r="D631" s="907"/>
      <c r="E631" s="907"/>
      <c r="F631" s="907"/>
      <c r="G631" s="907"/>
      <c r="H631" s="907"/>
      <c r="I631" s="907"/>
      <c r="J631" s="908"/>
    </row>
    <row r="632" spans="1:10" x14ac:dyDescent="0.2">
      <c r="A632" s="906"/>
      <c r="B632" s="907"/>
      <c r="C632" s="907"/>
      <c r="D632" s="907"/>
      <c r="E632" s="907"/>
      <c r="F632" s="907"/>
      <c r="G632" s="907"/>
      <c r="H632" s="907"/>
      <c r="I632" s="907"/>
      <c r="J632" s="908"/>
    </row>
    <row r="633" spans="1:10" x14ac:dyDescent="0.2">
      <c r="A633" s="906"/>
      <c r="B633" s="907"/>
      <c r="C633" s="907"/>
      <c r="D633" s="907"/>
      <c r="E633" s="907"/>
      <c r="F633" s="907"/>
      <c r="G633" s="907"/>
      <c r="H633" s="907"/>
      <c r="I633" s="907"/>
      <c r="J633" s="908"/>
    </row>
    <row r="634" spans="1:10" x14ac:dyDescent="0.2">
      <c r="A634" s="906"/>
      <c r="B634" s="907"/>
      <c r="C634" s="907"/>
      <c r="D634" s="907"/>
      <c r="E634" s="907"/>
      <c r="F634" s="907"/>
      <c r="G634" s="907"/>
      <c r="H634" s="907"/>
      <c r="I634" s="907"/>
      <c r="J634" s="908"/>
    </row>
    <row r="635" spans="1:10" x14ac:dyDescent="0.2">
      <c r="A635" s="906"/>
      <c r="B635" s="907"/>
      <c r="C635" s="907"/>
      <c r="D635" s="907"/>
      <c r="E635" s="907"/>
      <c r="F635" s="907"/>
      <c r="G635" s="907"/>
      <c r="H635" s="907"/>
      <c r="I635" s="907"/>
      <c r="J635" s="908"/>
    </row>
    <row r="636" spans="1:10" x14ac:dyDescent="0.2">
      <c r="A636" s="906"/>
      <c r="B636" s="907"/>
      <c r="C636" s="907"/>
      <c r="D636" s="907"/>
      <c r="E636" s="907"/>
      <c r="F636" s="907"/>
      <c r="G636" s="907"/>
      <c r="H636" s="907"/>
      <c r="I636" s="907"/>
      <c r="J636" s="908"/>
    </row>
    <row r="637" spans="1:10" x14ac:dyDescent="0.2">
      <c r="A637" s="906"/>
      <c r="B637" s="907"/>
      <c r="C637" s="907"/>
      <c r="D637" s="907"/>
      <c r="E637" s="907"/>
      <c r="F637" s="907"/>
      <c r="G637" s="907"/>
      <c r="H637" s="907"/>
      <c r="I637" s="907"/>
      <c r="J637" s="908"/>
    </row>
    <row r="638" spans="1:10" x14ac:dyDescent="0.2">
      <c r="A638" s="906"/>
      <c r="B638" s="907"/>
      <c r="C638" s="907"/>
      <c r="D638" s="907"/>
      <c r="E638" s="907"/>
      <c r="F638" s="907"/>
      <c r="G638" s="907"/>
      <c r="H638" s="907"/>
      <c r="I638" s="907"/>
      <c r="J638" s="908"/>
    </row>
    <row r="639" spans="1:10" x14ac:dyDescent="0.2">
      <c r="A639" s="906"/>
      <c r="B639" s="907"/>
      <c r="C639" s="907"/>
      <c r="D639" s="907"/>
      <c r="E639" s="907"/>
      <c r="F639" s="907"/>
      <c r="G639" s="907"/>
      <c r="H639" s="907"/>
      <c r="I639" s="907"/>
      <c r="J639" s="908"/>
    </row>
    <row r="640" spans="1:10" x14ac:dyDescent="0.2">
      <c r="A640" s="906"/>
      <c r="B640" s="907"/>
      <c r="C640" s="907"/>
      <c r="D640" s="907"/>
      <c r="E640" s="907"/>
      <c r="F640" s="907"/>
      <c r="G640" s="907"/>
      <c r="H640" s="907"/>
      <c r="I640" s="907"/>
      <c r="J640" s="908"/>
    </row>
    <row r="641" spans="1:10" x14ac:dyDescent="0.2">
      <c r="A641" s="906"/>
      <c r="B641" s="907"/>
      <c r="C641" s="907"/>
      <c r="D641" s="907"/>
      <c r="E641" s="907"/>
      <c r="F641" s="907"/>
      <c r="G641" s="907"/>
      <c r="H641" s="907"/>
      <c r="I641" s="907"/>
      <c r="J641" s="908"/>
    </row>
    <row r="642" spans="1:10" x14ac:dyDescent="0.2">
      <c r="A642" s="906"/>
      <c r="B642" s="907"/>
      <c r="C642" s="907"/>
      <c r="D642" s="907"/>
      <c r="E642" s="907"/>
      <c r="F642" s="907"/>
      <c r="G642" s="907"/>
      <c r="H642" s="907"/>
      <c r="I642" s="907"/>
      <c r="J642" s="908"/>
    </row>
    <row r="643" spans="1:10" x14ac:dyDescent="0.2">
      <c r="A643" s="906"/>
      <c r="B643" s="907"/>
      <c r="C643" s="907"/>
      <c r="D643" s="907"/>
      <c r="E643" s="907"/>
      <c r="F643" s="907"/>
      <c r="G643" s="907"/>
      <c r="H643" s="907"/>
      <c r="I643" s="907"/>
      <c r="J643" s="908"/>
    </row>
    <row r="644" spans="1:10" x14ac:dyDescent="0.2">
      <c r="A644" s="906"/>
      <c r="B644" s="907"/>
      <c r="C644" s="907"/>
      <c r="D644" s="907"/>
      <c r="E644" s="907"/>
      <c r="F644" s="907"/>
      <c r="G644" s="907"/>
      <c r="H644" s="907"/>
      <c r="I644" s="907"/>
      <c r="J644" s="908"/>
    </row>
    <row r="645" spans="1:10" x14ac:dyDescent="0.2">
      <c r="A645" s="906"/>
      <c r="B645" s="907"/>
      <c r="C645" s="907"/>
      <c r="D645" s="907"/>
      <c r="E645" s="907"/>
      <c r="F645" s="907"/>
      <c r="G645" s="907"/>
      <c r="H645" s="907"/>
      <c r="I645" s="907"/>
      <c r="J645" s="908"/>
    </row>
    <row r="646" spans="1:10" x14ac:dyDescent="0.2">
      <c r="A646" s="906"/>
      <c r="B646" s="907"/>
      <c r="C646" s="907"/>
      <c r="D646" s="907"/>
      <c r="E646" s="907"/>
      <c r="F646" s="907"/>
      <c r="G646" s="907"/>
      <c r="H646" s="907"/>
      <c r="I646" s="907"/>
      <c r="J646" s="908"/>
    </row>
    <row r="647" spans="1:10" x14ac:dyDescent="0.2">
      <c r="A647" s="906"/>
      <c r="B647" s="907"/>
      <c r="C647" s="907"/>
      <c r="D647" s="907"/>
      <c r="E647" s="907"/>
      <c r="F647" s="907"/>
      <c r="G647" s="907"/>
      <c r="H647" s="907"/>
      <c r="I647" s="907"/>
      <c r="J647" s="908"/>
    </row>
    <row r="648" spans="1:10" x14ac:dyDescent="0.2">
      <c r="A648" s="906"/>
      <c r="B648" s="907"/>
      <c r="C648" s="907"/>
      <c r="D648" s="907"/>
      <c r="E648" s="907"/>
      <c r="F648" s="907"/>
      <c r="G648" s="907"/>
      <c r="H648" s="907"/>
      <c r="I648" s="907"/>
      <c r="J648" s="908"/>
    </row>
    <row r="649" spans="1:10" x14ac:dyDescent="0.2">
      <c r="A649" s="906"/>
      <c r="B649" s="907"/>
      <c r="C649" s="907"/>
      <c r="D649" s="907"/>
      <c r="E649" s="907"/>
      <c r="F649" s="907"/>
      <c r="G649" s="907"/>
      <c r="H649" s="907"/>
      <c r="I649" s="907"/>
      <c r="J649" s="908"/>
    </row>
    <row r="650" spans="1:10" x14ac:dyDescent="0.2">
      <c r="A650" s="906"/>
      <c r="B650" s="907"/>
      <c r="C650" s="907"/>
      <c r="D650" s="907"/>
      <c r="E650" s="907"/>
      <c r="F650" s="907"/>
      <c r="G650" s="907"/>
      <c r="H650" s="907"/>
      <c r="I650" s="907"/>
      <c r="J650" s="908"/>
    </row>
    <row r="651" spans="1:10" x14ac:dyDescent="0.2">
      <c r="A651" s="906"/>
      <c r="B651" s="907"/>
      <c r="C651" s="907"/>
      <c r="D651" s="907"/>
      <c r="E651" s="907"/>
      <c r="F651" s="907"/>
      <c r="G651" s="907"/>
      <c r="H651" s="907"/>
      <c r="I651" s="907"/>
      <c r="J651" s="908"/>
    </row>
    <row r="652" spans="1:10" x14ac:dyDescent="0.2">
      <c r="A652" s="906"/>
      <c r="B652" s="907"/>
      <c r="C652" s="907"/>
      <c r="D652" s="907"/>
      <c r="E652" s="907"/>
      <c r="F652" s="907"/>
      <c r="G652" s="907"/>
      <c r="H652" s="907"/>
      <c r="I652" s="907"/>
      <c r="J652" s="908"/>
    </row>
    <row r="653" spans="1:10" x14ac:dyDescent="0.2">
      <c r="A653" s="906"/>
      <c r="B653" s="907"/>
      <c r="C653" s="907"/>
      <c r="D653" s="907"/>
      <c r="E653" s="907"/>
      <c r="F653" s="907"/>
      <c r="G653" s="907"/>
      <c r="H653" s="907"/>
      <c r="I653" s="907"/>
      <c r="J653" s="908"/>
    </row>
    <row r="654" spans="1:10" x14ac:dyDescent="0.2">
      <c r="A654" s="906"/>
      <c r="B654" s="907"/>
      <c r="C654" s="907"/>
      <c r="D654" s="907"/>
      <c r="E654" s="907"/>
      <c r="F654" s="907"/>
      <c r="G654" s="907"/>
      <c r="H654" s="907"/>
      <c r="I654" s="907"/>
      <c r="J654" s="908"/>
    </row>
    <row r="655" spans="1:10" x14ac:dyDescent="0.2">
      <c r="A655" s="906"/>
      <c r="B655" s="907"/>
      <c r="C655" s="907"/>
      <c r="D655" s="907"/>
      <c r="E655" s="907"/>
      <c r="F655" s="907"/>
      <c r="G655" s="907"/>
      <c r="H655" s="907"/>
      <c r="I655" s="907"/>
      <c r="J655" s="908"/>
    </row>
    <row r="656" spans="1:10" x14ac:dyDescent="0.2">
      <c r="A656" s="906"/>
      <c r="B656" s="907"/>
      <c r="C656" s="907"/>
      <c r="D656" s="907"/>
      <c r="E656" s="907"/>
      <c r="F656" s="907"/>
      <c r="G656" s="907"/>
      <c r="H656" s="907"/>
      <c r="I656" s="907"/>
      <c r="J656" s="908"/>
    </row>
    <row r="657" spans="1:10" x14ac:dyDescent="0.2">
      <c r="A657" s="906"/>
      <c r="B657" s="907"/>
      <c r="C657" s="907"/>
      <c r="D657" s="907"/>
      <c r="E657" s="907"/>
      <c r="F657" s="907"/>
      <c r="G657" s="907"/>
      <c r="H657" s="907"/>
      <c r="I657" s="907"/>
      <c r="J657" s="908"/>
    </row>
    <row r="658" spans="1:10" x14ac:dyDescent="0.2">
      <c r="A658" s="906"/>
      <c r="B658" s="907"/>
      <c r="C658" s="907"/>
      <c r="D658" s="907"/>
      <c r="E658" s="907"/>
      <c r="F658" s="907"/>
      <c r="G658" s="907"/>
      <c r="H658" s="907"/>
      <c r="I658" s="907"/>
      <c r="J658" s="908"/>
    </row>
    <row r="659" spans="1:10" x14ac:dyDescent="0.2">
      <c r="A659" s="906"/>
      <c r="B659" s="907"/>
      <c r="C659" s="907"/>
      <c r="D659" s="907"/>
      <c r="E659" s="907"/>
      <c r="F659" s="907"/>
      <c r="G659" s="907"/>
      <c r="H659" s="907"/>
      <c r="I659" s="907"/>
      <c r="J659" s="908"/>
    </row>
    <row r="660" spans="1:10" x14ac:dyDescent="0.2">
      <c r="A660" s="906"/>
      <c r="B660" s="907"/>
      <c r="C660" s="907"/>
      <c r="D660" s="907"/>
      <c r="E660" s="907"/>
      <c r="F660" s="907"/>
      <c r="G660" s="907"/>
      <c r="H660" s="907"/>
      <c r="I660" s="907"/>
      <c r="J660" s="908"/>
    </row>
    <row r="661" spans="1:10" x14ac:dyDescent="0.2">
      <c r="A661" s="906"/>
      <c r="B661" s="907"/>
      <c r="C661" s="907"/>
      <c r="D661" s="907"/>
      <c r="E661" s="907"/>
      <c r="F661" s="907"/>
      <c r="G661" s="907"/>
      <c r="H661" s="907"/>
      <c r="I661" s="907"/>
      <c r="J661" s="908"/>
    </row>
    <row r="662" spans="1:10" x14ac:dyDescent="0.2">
      <c r="A662" s="906"/>
      <c r="B662" s="907"/>
      <c r="C662" s="907"/>
      <c r="D662" s="907"/>
      <c r="E662" s="907"/>
      <c r="F662" s="907"/>
      <c r="G662" s="907"/>
      <c r="H662" s="907"/>
      <c r="I662" s="907"/>
      <c r="J662" s="908"/>
    </row>
    <row r="663" spans="1:10" ht="13.5" thickBot="1" x14ac:dyDescent="0.25">
      <c r="A663" s="909"/>
      <c r="B663" s="910"/>
      <c r="C663" s="910"/>
      <c r="D663" s="910"/>
      <c r="E663" s="910"/>
      <c r="F663" s="910"/>
      <c r="G663" s="910"/>
      <c r="H663" s="910"/>
      <c r="I663" s="910"/>
      <c r="J663" s="911"/>
    </row>
  </sheetData>
  <mergeCells count="7">
    <mergeCell ref="A6:J6"/>
    <mergeCell ref="A7:J663"/>
    <mergeCell ref="A1:J1"/>
    <mergeCell ref="B2:J2"/>
    <mergeCell ref="B3:J3"/>
    <mergeCell ref="B4:H4"/>
    <mergeCell ref="B5:H5"/>
  </mergeCells>
  <pageMargins left="0.25" right="0.25"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30</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'8ª Med'!K9:L9+30</f>
        <v>39880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Reforma!AM147-G19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Aula'!AM90-G20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Elétrica!AM127-G22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Drenagem!AM23-G23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5:I17"/>
    <mergeCell ref="J15:J17"/>
    <mergeCell ref="I36:K36"/>
    <mergeCell ref="C30:L31"/>
    <mergeCell ref="K15:K17"/>
    <mergeCell ref="L15:L17"/>
    <mergeCell ref="D36:E36"/>
    <mergeCell ref="A25:B25"/>
    <mergeCell ref="H15:H17"/>
    <mergeCell ref="A15:A17"/>
    <mergeCell ref="D15:D17"/>
    <mergeCell ref="G15:G17"/>
    <mergeCell ref="B15:B17"/>
    <mergeCell ref="C15:C17"/>
    <mergeCell ref="E15:E17"/>
    <mergeCell ref="F15:F17"/>
    <mergeCell ref="A6:L6"/>
    <mergeCell ref="I7:J7"/>
    <mergeCell ref="I8:J8"/>
    <mergeCell ref="I9:J9"/>
    <mergeCell ref="K7:L7"/>
    <mergeCell ref="K8:L8"/>
    <mergeCell ref="K9:L9"/>
    <mergeCell ref="I12:J12"/>
    <mergeCell ref="K12:L12"/>
    <mergeCell ref="I13:J13"/>
    <mergeCell ref="K10:L10"/>
    <mergeCell ref="I10:J10"/>
    <mergeCell ref="I11:J11"/>
    <mergeCell ref="K11:L11"/>
    <mergeCell ref="K13:L13"/>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31</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'7ª Med'!K9:L9+30</f>
        <v>39850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Reforma!AJ147-G19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Aula'!AJ90-G20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Elétrica!AJ127-G22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Drenagem!AJ23-G23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2:J12"/>
    <mergeCell ref="K12:L12"/>
    <mergeCell ref="I13:J13"/>
    <mergeCell ref="K10:L10"/>
    <mergeCell ref="I10:J10"/>
    <mergeCell ref="I11:J11"/>
    <mergeCell ref="K11:L11"/>
    <mergeCell ref="K13:L13"/>
    <mergeCell ref="A6:L6"/>
    <mergeCell ref="I7:J7"/>
    <mergeCell ref="I8:J8"/>
    <mergeCell ref="I9:J9"/>
    <mergeCell ref="K7:L7"/>
    <mergeCell ref="K8:L8"/>
    <mergeCell ref="K9:L9"/>
    <mergeCell ref="A25:B25"/>
    <mergeCell ref="H15:H17"/>
    <mergeCell ref="A15:A17"/>
    <mergeCell ref="D15:D17"/>
    <mergeCell ref="G15:G17"/>
    <mergeCell ref="B15:B17"/>
    <mergeCell ref="C15:C17"/>
    <mergeCell ref="E15:E17"/>
    <mergeCell ref="F15:F17"/>
    <mergeCell ref="I15:I17"/>
    <mergeCell ref="J15:J17"/>
    <mergeCell ref="I36:K36"/>
    <mergeCell ref="C30:L31"/>
    <mergeCell ref="K15:K17"/>
    <mergeCell ref="L15:L17"/>
    <mergeCell ref="D36:E36"/>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32</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'6ª Med'!K9:L9+30</f>
        <v>39820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Reforma!AG147-G19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Aula'!AG90-G20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Elétrica!AG127-G22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Drenagem!AG23-G23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5:I17"/>
    <mergeCell ref="J15:J17"/>
    <mergeCell ref="I36:K36"/>
    <mergeCell ref="C30:L31"/>
    <mergeCell ref="K15:K17"/>
    <mergeCell ref="L15:L17"/>
    <mergeCell ref="D36:E36"/>
    <mergeCell ref="A25:B25"/>
    <mergeCell ref="H15:H17"/>
    <mergeCell ref="A15:A17"/>
    <mergeCell ref="D15:D17"/>
    <mergeCell ref="G15:G17"/>
    <mergeCell ref="B15:B17"/>
    <mergeCell ref="C15:C17"/>
    <mergeCell ref="E15:E17"/>
    <mergeCell ref="F15:F17"/>
    <mergeCell ref="A6:L6"/>
    <mergeCell ref="I7:J7"/>
    <mergeCell ref="I8:J8"/>
    <mergeCell ref="I9:J9"/>
    <mergeCell ref="K7:L7"/>
    <mergeCell ref="K8:L8"/>
    <mergeCell ref="K9:L9"/>
    <mergeCell ref="I12:J12"/>
    <mergeCell ref="K12:L12"/>
    <mergeCell ref="I13:J13"/>
    <mergeCell ref="K10:L10"/>
    <mergeCell ref="I10:J10"/>
    <mergeCell ref="I11:J11"/>
    <mergeCell ref="K11:L11"/>
    <mergeCell ref="K13:L13"/>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33</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'5ª Med'!K9:L9+30</f>
        <v>39790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Reforma!AD147-G19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Aula'!AD90-G20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Elétrica!AD127-G22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Drenagem!AD23-G23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2:J12"/>
    <mergeCell ref="K12:L12"/>
    <mergeCell ref="I13:J13"/>
    <mergeCell ref="K10:L10"/>
    <mergeCell ref="I10:J10"/>
    <mergeCell ref="I11:J11"/>
    <mergeCell ref="K11:L11"/>
    <mergeCell ref="K13:L13"/>
    <mergeCell ref="A6:L6"/>
    <mergeCell ref="I7:J7"/>
    <mergeCell ref="I8:J8"/>
    <mergeCell ref="I9:J9"/>
    <mergeCell ref="K7:L7"/>
    <mergeCell ref="K8:L8"/>
    <mergeCell ref="K9:L9"/>
    <mergeCell ref="A25:B25"/>
    <mergeCell ref="H15:H17"/>
    <mergeCell ref="A15:A17"/>
    <mergeCell ref="D15:D17"/>
    <mergeCell ref="G15:G17"/>
    <mergeCell ref="B15:B17"/>
    <mergeCell ref="C15:C17"/>
    <mergeCell ref="E15:E17"/>
    <mergeCell ref="F15:F17"/>
    <mergeCell ref="I15:I17"/>
    <mergeCell ref="J15:J17"/>
    <mergeCell ref="I36:K36"/>
    <mergeCell ref="C30:L31"/>
    <mergeCell ref="K15:K17"/>
    <mergeCell ref="L15:L17"/>
    <mergeCell ref="D36:E36"/>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34</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'4ª Med'!K9:L9+30</f>
        <v>39760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Reforma!AA147-G19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Aula'!AA90-G20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Elétrica!AA127-G22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Drenagem!AA23-G23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5:I17"/>
    <mergeCell ref="J15:J17"/>
    <mergeCell ref="I36:K36"/>
    <mergeCell ref="C30:L31"/>
    <mergeCell ref="K15:K17"/>
    <mergeCell ref="L15:L17"/>
    <mergeCell ref="D36:E36"/>
    <mergeCell ref="A25:B25"/>
    <mergeCell ref="H15:H17"/>
    <mergeCell ref="A15:A17"/>
    <mergeCell ref="D15:D17"/>
    <mergeCell ref="G15:G17"/>
    <mergeCell ref="B15:B17"/>
    <mergeCell ref="C15:C17"/>
    <mergeCell ref="E15:E17"/>
    <mergeCell ref="F15:F17"/>
    <mergeCell ref="A6:L6"/>
    <mergeCell ref="I7:J7"/>
    <mergeCell ref="I8:J8"/>
    <mergeCell ref="I9:J9"/>
    <mergeCell ref="K7:L7"/>
    <mergeCell ref="K8:L8"/>
    <mergeCell ref="K9:L9"/>
    <mergeCell ref="I12:J12"/>
    <mergeCell ref="K12:L12"/>
    <mergeCell ref="I13:J13"/>
    <mergeCell ref="K10:L10"/>
    <mergeCell ref="I10:J10"/>
    <mergeCell ref="I11:J11"/>
    <mergeCell ref="K11:L11"/>
    <mergeCell ref="K13:L13"/>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K37"/>
  <sheetViews>
    <sheetView zoomScale="75" zoomScaleNormal="65" zoomScaleSheetLayoutView="80" workbookViewId="0">
      <selection activeCell="E22" sqref="E22"/>
    </sheetView>
  </sheetViews>
  <sheetFormatPr defaultColWidth="9.140625" defaultRowHeight="15" x14ac:dyDescent="0.2"/>
  <cols>
    <col min="1" max="1" width="11" style="167" customWidth="1"/>
    <col min="2" max="2" width="63.140625" style="167" customWidth="1"/>
    <col min="3" max="3" width="20.42578125" style="167" customWidth="1"/>
    <col min="4" max="4" width="12.42578125" style="167" bestFit="1" customWidth="1"/>
    <col min="5" max="5" width="18.7109375" style="167" customWidth="1"/>
    <col min="6" max="6" width="10.85546875" style="167" customWidth="1"/>
    <col min="7" max="7" width="16.42578125" style="167" customWidth="1"/>
    <col min="8" max="8" width="12.42578125" style="167" customWidth="1"/>
    <col min="9" max="9" width="17.7109375" style="167" customWidth="1"/>
    <col min="10" max="10" width="10.42578125" style="167" customWidth="1"/>
    <col min="11" max="11" width="18.7109375" style="167" customWidth="1"/>
    <col min="12" max="12" width="12.42578125" style="167" bestFit="1" customWidth="1"/>
    <col min="13" max="16384" width="9.140625" style="167"/>
  </cols>
  <sheetData>
    <row r="1" spans="1:115" ht="15.75" x14ac:dyDescent="0.2">
      <c r="A1" s="180"/>
      <c r="B1" s="181" t="s">
        <v>0</v>
      </c>
      <c r="C1" s="182"/>
      <c r="D1" s="182"/>
      <c r="E1" s="182"/>
      <c r="F1" s="182"/>
      <c r="G1" s="182"/>
      <c r="H1" s="182"/>
      <c r="I1" s="182"/>
      <c r="J1" s="182"/>
      <c r="K1" s="182"/>
      <c r="L1" s="396"/>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row>
    <row r="2" spans="1:115" ht="15.75" x14ac:dyDescent="0.2">
      <c r="A2" s="183"/>
      <c r="B2" s="184" t="s">
        <v>1</v>
      </c>
      <c r="C2" s="169"/>
      <c r="D2" s="169"/>
      <c r="E2" s="169"/>
      <c r="F2" s="169"/>
      <c r="G2" s="169"/>
      <c r="H2" s="169"/>
      <c r="I2" s="169"/>
      <c r="J2" s="169"/>
      <c r="K2" s="169"/>
      <c r="L2" s="397"/>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row>
    <row r="3" spans="1:115" ht="15.75" x14ac:dyDescent="0.2">
      <c r="A3" s="183"/>
      <c r="B3" s="184" t="s">
        <v>2</v>
      </c>
      <c r="C3" s="169"/>
      <c r="D3" s="169"/>
      <c r="E3" s="169"/>
      <c r="F3" s="169"/>
      <c r="G3" s="169"/>
      <c r="H3" s="169"/>
      <c r="I3" s="169"/>
      <c r="J3" s="169"/>
      <c r="K3" s="169"/>
      <c r="L3" s="397"/>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row>
    <row r="4" spans="1:115" ht="15.75" x14ac:dyDescent="0.2">
      <c r="A4" s="183"/>
      <c r="B4" s="184" t="s">
        <v>3</v>
      </c>
      <c r="C4" s="169"/>
      <c r="D4" s="169"/>
      <c r="E4" s="169"/>
      <c r="F4" s="169"/>
      <c r="G4" s="169"/>
      <c r="H4" s="169"/>
      <c r="I4" s="169"/>
      <c r="J4" s="169"/>
      <c r="K4" s="169"/>
      <c r="L4" s="397"/>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row>
    <row r="5" spans="1:115" ht="15.75" x14ac:dyDescent="0.2">
      <c r="A5" s="183"/>
      <c r="B5" s="184" t="s">
        <v>4</v>
      </c>
      <c r="C5" s="169"/>
      <c r="D5" s="169"/>
      <c r="E5" s="169"/>
      <c r="F5" s="169"/>
      <c r="G5" s="169"/>
      <c r="H5" s="169"/>
      <c r="I5" s="169"/>
      <c r="J5" s="169"/>
      <c r="K5" s="169"/>
      <c r="L5" s="397"/>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row>
    <row r="6" spans="1:115" ht="26.25" x14ac:dyDescent="0.2">
      <c r="A6" s="596" t="s">
        <v>5</v>
      </c>
      <c r="B6" s="597"/>
      <c r="C6" s="597"/>
      <c r="D6" s="597"/>
      <c r="E6" s="597"/>
      <c r="F6" s="597"/>
      <c r="G6" s="597"/>
      <c r="H6" s="597"/>
      <c r="I6" s="597"/>
      <c r="J6" s="597"/>
      <c r="K6" s="597"/>
      <c r="L6" s="598"/>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row>
    <row r="7" spans="1:115" s="168" customFormat="1" ht="16.5" x14ac:dyDescent="0.2">
      <c r="A7" s="185"/>
      <c r="I7" s="599" t="str">
        <f>'1ª Med'!I7:J7</f>
        <v>Termo de Contrato:</v>
      </c>
      <c r="J7" s="599"/>
      <c r="K7" s="601" t="str">
        <f>'1ª Med'!K7:L7</f>
        <v>37/2008</v>
      </c>
      <c r="L7" s="602"/>
    </row>
    <row r="8" spans="1:115" ht="16.5" x14ac:dyDescent="0.2">
      <c r="A8" s="235" t="e">
        <f>RESUMO!#REF!</f>
        <v>#REF!</v>
      </c>
      <c r="B8" s="168"/>
      <c r="C8" s="169"/>
      <c r="D8" s="169"/>
      <c r="E8" s="169"/>
      <c r="F8" s="169"/>
      <c r="G8" s="169"/>
      <c r="H8" s="169"/>
      <c r="I8" s="600" t="s">
        <v>6</v>
      </c>
      <c r="J8" s="600"/>
      <c r="K8" s="603" t="s">
        <v>35</v>
      </c>
      <c r="L8" s="604"/>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row>
    <row r="9" spans="1:115" ht="16.5" x14ac:dyDescent="0.2">
      <c r="A9" s="235" t="e">
        <f>RESUMO!#REF!</f>
        <v>#REF!</v>
      </c>
      <c r="B9" s="168"/>
      <c r="C9" s="169"/>
      <c r="D9" s="169"/>
      <c r="E9" s="169"/>
      <c r="F9" s="169"/>
      <c r="G9" s="169"/>
      <c r="H9" s="169"/>
      <c r="I9" s="599" t="s">
        <v>8</v>
      </c>
      <c r="J9" s="599"/>
      <c r="K9" s="605">
        <f>'3ª Med'!K9:L9+30</f>
        <v>39730</v>
      </c>
      <c r="L9" s="606"/>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row>
    <row r="10" spans="1:115" ht="16.5" x14ac:dyDescent="0.2">
      <c r="A10" s="235" t="str">
        <f>RESUMO!A7</f>
        <v xml:space="preserve">RESUMO DA PLANILHA ORÇAMENTARIA </v>
      </c>
      <c r="B10" s="169"/>
      <c r="C10" s="220"/>
      <c r="D10" s="220"/>
      <c r="E10" s="135"/>
      <c r="F10" s="135"/>
      <c r="G10" s="169"/>
      <c r="H10" s="169"/>
      <c r="I10" s="599" t="s">
        <v>9</v>
      </c>
      <c r="J10" s="599"/>
      <c r="K10" s="605">
        <f>'1ª Med'!K10:L10</f>
        <v>39610</v>
      </c>
      <c r="L10" s="606"/>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row>
    <row r="11" spans="1:115" ht="16.5" x14ac:dyDescent="0.2">
      <c r="A11" s="186"/>
      <c r="B11" s="169"/>
      <c r="C11" s="135"/>
      <c r="D11" s="135"/>
      <c r="E11" s="135"/>
      <c r="F11" s="135"/>
      <c r="G11" s="169"/>
      <c r="H11" s="169"/>
      <c r="I11" s="599" t="s">
        <v>10</v>
      </c>
      <c r="J11" s="599"/>
      <c r="K11" s="605">
        <f>K10+'Cron Reforma'!H7</f>
        <v>39975</v>
      </c>
      <c r="L11" s="606"/>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row>
    <row r="12" spans="1:115" ht="16.5" x14ac:dyDescent="0.2">
      <c r="A12" s="186"/>
      <c r="B12" s="169"/>
      <c r="C12" s="135"/>
      <c r="D12" s="135"/>
      <c r="E12" s="135"/>
      <c r="F12" s="135"/>
      <c r="G12" s="169"/>
      <c r="H12" s="169"/>
      <c r="I12" s="599" t="s">
        <v>11</v>
      </c>
      <c r="J12" s="599"/>
      <c r="K12" s="607">
        <f>RESUMO!C20</f>
        <v>510775.93</v>
      </c>
      <c r="L12" s="608"/>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row>
    <row r="13" spans="1:115" ht="16.5" x14ac:dyDescent="0.2">
      <c r="A13" s="186"/>
      <c r="B13" s="169"/>
      <c r="C13" s="135"/>
      <c r="D13" s="135"/>
      <c r="E13" s="135"/>
      <c r="F13" s="135"/>
      <c r="G13" s="169"/>
      <c r="H13" s="169"/>
      <c r="I13" s="599" t="s">
        <v>12</v>
      </c>
      <c r="J13" s="599"/>
      <c r="K13" s="609" t="e">
        <f>RESUMO!#REF!</f>
        <v>#REF!</v>
      </c>
      <c r="L13" s="606"/>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row>
    <row r="14" spans="1:115" ht="17.25" thickBot="1" x14ac:dyDescent="0.25">
      <c r="A14" s="186"/>
      <c r="B14" s="169"/>
      <c r="C14" s="135"/>
      <c r="D14" s="135"/>
      <c r="E14" s="135"/>
      <c r="F14" s="135"/>
      <c r="G14" s="169"/>
      <c r="H14" s="135"/>
      <c r="I14" s="135"/>
      <c r="J14" s="195"/>
      <c r="K14" s="195"/>
      <c r="L14" s="397"/>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row>
    <row r="15" spans="1:115" ht="15" customHeight="1" x14ac:dyDescent="0.2">
      <c r="A15" s="589" t="s">
        <v>13</v>
      </c>
      <c r="B15" s="591" t="s">
        <v>14</v>
      </c>
      <c r="C15" s="594" t="s">
        <v>15</v>
      </c>
      <c r="D15" s="580" t="s">
        <v>16</v>
      </c>
      <c r="E15" s="580" t="s">
        <v>17</v>
      </c>
      <c r="F15" s="580" t="s">
        <v>16</v>
      </c>
      <c r="G15" s="580" t="s">
        <v>18</v>
      </c>
      <c r="H15" s="580" t="s">
        <v>16</v>
      </c>
      <c r="I15" s="580" t="s">
        <v>19</v>
      </c>
      <c r="J15" s="580" t="s">
        <v>16</v>
      </c>
      <c r="K15" s="580" t="s">
        <v>20</v>
      </c>
      <c r="L15" s="580" t="s">
        <v>16</v>
      </c>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row>
    <row r="16" spans="1:115" ht="18" customHeight="1" x14ac:dyDescent="0.2">
      <c r="A16" s="590"/>
      <c r="B16" s="592"/>
      <c r="C16" s="595"/>
      <c r="D16" s="581"/>
      <c r="E16" s="581"/>
      <c r="F16" s="581"/>
      <c r="G16" s="581"/>
      <c r="H16" s="581"/>
      <c r="I16" s="581"/>
      <c r="J16" s="581"/>
      <c r="K16" s="581"/>
      <c r="L16" s="581"/>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row>
    <row r="17" spans="1:115" ht="21" customHeight="1" thickBot="1" x14ac:dyDescent="0.25">
      <c r="A17" s="590"/>
      <c r="B17" s="593"/>
      <c r="C17" s="595"/>
      <c r="D17" s="581"/>
      <c r="E17" s="582"/>
      <c r="F17" s="581"/>
      <c r="G17" s="582"/>
      <c r="H17" s="581"/>
      <c r="I17" s="582"/>
      <c r="J17" s="581"/>
      <c r="K17" s="582"/>
      <c r="L17" s="581"/>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row>
    <row r="18" spans="1:115" s="170" customFormat="1" ht="18" x14ac:dyDescent="0.2">
      <c r="A18" s="174"/>
      <c r="B18" s="177"/>
      <c r="C18" s="155"/>
      <c r="D18" s="154"/>
      <c r="E18" s="156"/>
      <c r="F18" s="154"/>
      <c r="G18" s="156"/>
      <c r="H18" s="154"/>
      <c r="I18" s="156"/>
      <c r="J18" s="154"/>
      <c r="K18" s="156"/>
      <c r="L18" s="154"/>
    </row>
    <row r="19" spans="1:115" s="170" customFormat="1" ht="18" x14ac:dyDescent="0.2">
      <c r="A19" s="175" t="e">
        <f>RESUMO!#REF!</f>
        <v>#REF!</v>
      </c>
      <c r="B19" s="178" t="e">
        <f>RESUMO!#REF!</f>
        <v>#REF!</v>
      </c>
      <c r="C19" s="158">
        <f>Reforma!K147+Reforma!L147</f>
        <v>864949.41999999981</v>
      </c>
      <c r="D19" s="157" t="e">
        <f>C19/$C$25</f>
        <v>#REF!</v>
      </c>
      <c r="E19" s="158">
        <f>Reforma!X147-G19</f>
        <v>0</v>
      </c>
      <c r="F19" s="157">
        <f>E19/$K$12</f>
        <v>0</v>
      </c>
      <c r="G19" s="221">
        <v>0</v>
      </c>
      <c r="H19" s="157" t="e">
        <f>G19/$K$13</f>
        <v>#REF!</v>
      </c>
      <c r="I19" s="158">
        <f>Reforma!AY147</f>
        <v>0</v>
      </c>
      <c r="J19" s="157" t="e">
        <f>I19/C$25</f>
        <v>#REF!</v>
      </c>
      <c r="K19" s="158">
        <f>Reforma!BB147</f>
        <v>864949.41999999981</v>
      </c>
      <c r="L19" s="157" t="e">
        <f>K19/C$25</f>
        <v>#REF!</v>
      </c>
    </row>
    <row r="20" spans="1:115" s="170" customFormat="1" ht="18" x14ac:dyDescent="0.2">
      <c r="A20" s="175" t="e">
        <f>RESUMO!#REF!</f>
        <v>#REF!</v>
      </c>
      <c r="B20" s="178" t="e">
        <f>RESUMO!#REF!</f>
        <v>#REF!</v>
      </c>
      <c r="C20" s="159">
        <f>'Ampliação 02 Salas Aula'!K90+'Ampliação 02 Salas Aula'!L90</f>
        <v>90706.390000000014</v>
      </c>
      <c r="D20" s="157" t="e">
        <f>C20/$C$25</f>
        <v>#REF!</v>
      </c>
      <c r="E20" s="158">
        <f>'Ampliação 02 Salas Aula'!X90-G20</f>
        <v>0</v>
      </c>
      <c r="F20" s="157">
        <f>E20/$K$12</f>
        <v>0</v>
      </c>
      <c r="G20" s="221">
        <v>0</v>
      </c>
      <c r="H20" s="157" t="e">
        <f>G20/$K$13</f>
        <v>#REF!</v>
      </c>
      <c r="I20" s="158">
        <f>'Ampliação 02 Salas Aula'!AY90</f>
        <v>0</v>
      </c>
      <c r="J20" s="157" t="e">
        <f>I20/C$25</f>
        <v>#REF!</v>
      </c>
      <c r="K20" s="158">
        <f>'Ampliação 02 Salas Aula'!BB90</f>
        <v>90706.390000000014</v>
      </c>
      <c r="L20" s="157" t="e">
        <f>K20/C$25</f>
        <v>#REF!</v>
      </c>
    </row>
    <row r="21" spans="1:115" s="170" customFormat="1" ht="18" x14ac:dyDescent="0.2">
      <c r="A21" s="175" t="e">
        <f>RESUMO!#REF!</f>
        <v>#REF!</v>
      </c>
      <c r="B21" s="178" t="e">
        <f>RESUMO!#REF!</f>
        <v>#REF!</v>
      </c>
      <c r="C21" s="159" t="e">
        <f>#REF!+#REF!</f>
        <v>#REF!</v>
      </c>
      <c r="D21" s="157" t="e">
        <f>C21/$C$25</f>
        <v>#REF!</v>
      </c>
      <c r="E21" s="159" t="e">
        <f>#REF!-G21</f>
        <v>#REF!</v>
      </c>
      <c r="F21" s="157" t="e">
        <f>E21/$K$12</f>
        <v>#REF!</v>
      </c>
      <c r="G21" s="221">
        <v>0</v>
      </c>
      <c r="H21" s="157" t="e">
        <f>G21/$K$13</f>
        <v>#REF!</v>
      </c>
      <c r="I21" s="159" t="e">
        <f>#REF!</f>
        <v>#REF!</v>
      </c>
      <c r="J21" s="157" t="e">
        <f>I21/C$25</f>
        <v>#REF!</v>
      </c>
      <c r="K21" s="159" t="e">
        <f>#REF!</f>
        <v>#REF!</v>
      </c>
      <c r="L21" s="157" t="e">
        <f>K21/C$25</f>
        <v>#REF!</v>
      </c>
    </row>
    <row r="22" spans="1:115" s="170" customFormat="1" ht="18" x14ac:dyDescent="0.2">
      <c r="A22" s="175" t="e">
        <f>RESUMO!#REF!</f>
        <v>#REF!</v>
      </c>
      <c r="B22" s="178" t="e">
        <f>RESUMO!#REF!</f>
        <v>#REF!</v>
      </c>
      <c r="C22" s="159">
        <f>Elétrica!K127+Elétrica!L127</f>
        <v>149381.64000000001</v>
      </c>
      <c r="D22" s="157" t="e">
        <f>C22/$C$25</f>
        <v>#REF!</v>
      </c>
      <c r="E22" s="159">
        <f>Elétrica!X127-G22</f>
        <v>0</v>
      </c>
      <c r="F22" s="157">
        <f>E22/$K$12</f>
        <v>0</v>
      </c>
      <c r="G22" s="221">
        <v>0</v>
      </c>
      <c r="H22" s="157" t="e">
        <f>G22/$K$13</f>
        <v>#REF!</v>
      </c>
      <c r="I22" s="159">
        <f>Elétrica!AY127</f>
        <v>0</v>
      </c>
      <c r="J22" s="157" t="e">
        <f>I22/C$25</f>
        <v>#REF!</v>
      </c>
      <c r="K22" s="159">
        <f>Elétrica!BB127</f>
        <v>149381.64000000001</v>
      </c>
      <c r="L22" s="157" t="e">
        <f>K22/C$25</f>
        <v>#REF!</v>
      </c>
    </row>
    <row r="23" spans="1:115" s="170" customFormat="1" ht="18" x14ac:dyDescent="0.2">
      <c r="A23" s="175" t="e">
        <f>RESUMO!#REF!</f>
        <v>#REF!</v>
      </c>
      <c r="B23" s="178" t="e">
        <f>RESUMO!#REF!</f>
        <v>#REF!</v>
      </c>
      <c r="C23" s="159">
        <f>Drenagem!K23+Drenagem!L23</f>
        <v>30986.18</v>
      </c>
      <c r="D23" s="157" t="e">
        <f>C23/$C$25</f>
        <v>#REF!</v>
      </c>
      <c r="E23" s="159">
        <f>Drenagem!X23-G23</f>
        <v>0</v>
      </c>
      <c r="F23" s="157">
        <f>E23/$K$12</f>
        <v>0</v>
      </c>
      <c r="G23" s="221">
        <v>0</v>
      </c>
      <c r="H23" s="157" t="e">
        <f>G23/$K$13</f>
        <v>#REF!</v>
      </c>
      <c r="I23" s="159">
        <f>Drenagem!AY23</f>
        <v>0</v>
      </c>
      <c r="J23" s="157" t="e">
        <f>I23/C$25</f>
        <v>#REF!</v>
      </c>
      <c r="K23" s="159">
        <f>Drenagem!BB23</f>
        <v>30986.18</v>
      </c>
      <c r="L23" s="157" t="e">
        <f>K23/C$25</f>
        <v>#REF!</v>
      </c>
    </row>
    <row r="24" spans="1:115" ht="18.75" thickBot="1" x14ac:dyDescent="0.25">
      <c r="A24" s="176"/>
      <c r="B24" s="179"/>
      <c r="C24" s="171"/>
      <c r="D24" s="171"/>
      <c r="E24" s="171"/>
      <c r="F24" s="171"/>
      <c r="G24" s="171"/>
      <c r="H24" s="171"/>
      <c r="I24" s="171"/>
      <c r="J24" s="171"/>
      <c r="K24" s="171"/>
      <c r="L24" s="171"/>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row>
    <row r="25" spans="1:115" ht="18.75" thickBot="1" x14ac:dyDescent="0.25">
      <c r="A25" s="587" t="s">
        <v>21</v>
      </c>
      <c r="B25" s="588"/>
      <c r="C25" s="161" t="e">
        <f t="shared" ref="C25:L25" si="0">SUM(C19:C24)</f>
        <v>#REF!</v>
      </c>
      <c r="D25" s="160" t="e">
        <f t="shared" si="0"/>
        <v>#REF!</v>
      </c>
      <c r="E25" s="161" t="e">
        <f t="shared" si="0"/>
        <v>#REF!</v>
      </c>
      <c r="F25" s="160" t="e">
        <f t="shared" si="0"/>
        <v>#REF!</v>
      </c>
      <c r="G25" s="161">
        <f t="shared" si="0"/>
        <v>0</v>
      </c>
      <c r="H25" s="160" t="e">
        <f t="shared" si="0"/>
        <v>#REF!</v>
      </c>
      <c r="I25" s="161" t="e">
        <f t="shared" si="0"/>
        <v>#REF!</v>
      </c>
      <c r="J25" s="160" t="e">
        <f t="shared" si="0"/>
        <v>#REF!</v>
      </c>
      <c r="K25" s="161" t="e">
        <f t="shared" si="0"/>
        <v>#REF!</v>
      </c>
      <c r="L25" s="160" t="e">
        <f t="shared" si="0"/>
        <v>#REF!</v>
      </c>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row>
    <row r="26" spans="1:115" ht="15.75" x14ac:dyDescent="0.2">
      <c r="A26" s="183"/>
      <c r="B26" s="162"/>
      <c r="C26" s="163"/>
      <c r="D26" s="163"/>
      <c r="E26" s="163"/>
      <c r="F26" s="163"/>
      <c r="G26" s="163"/>
      <c r="H26" s="164"/>
      <c r="I26" s="169"/>
      <c r="J26" s="169"/>
      <c r="K26" s="169"/>
      <c r="L26" s="397"/>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row>
    <row r="27" spans="1:115" ht="16.5" thickBot="1" x14ac:dyDescent="0.25">
      <c r="A27" s="398"/>
      <c r="B27" s="192" t="s">
        <v>22</v>
      </c>
      <c r="C27" s="224" t="e">
        <f>E25+G25</f>
        <v>#REF!</v>
      </c>
      <c r="D27" s="169"/>
      <c r="E27" s="163"/>
      <c r="F27" s="163"/>
      <c r="G27" s="163"/>
      <c r="H27" s="164"/>
      <c r="I27" s="169"/>
      <c r="J27" s="169"/>
      <c r="K27" s="169"/>
      <c r="L27" s="397"/>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row>
    <row r="28" spans="1:115" ht="18.75" thickBot="1" x14ac:dyDescent="0.25">
      <c r="A28" s="398"/>
      <c r="B28" s="222" t="s">
        <v>23</v>
      </c>
      <c r="C28" s="226" t="e">
        <f>C27</f>
        <v>#REF!</v>
      </c>
      <c r="D28" s="223" t="e">
        <f>C28/C25</f>
        <v>#REF!</v>
      </c>
      <c r="E28" s="163"/>
      <c r="F28" s="163"/>
      <c r="G28" s="163"/>
      <c r="H28" s="164"/>
      <c r="I28" s="169"/>
      <c r="J28" s="169"/>
      <c r="K28" s="169"/>
      <c r="L28" s="397"/>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row>
    <row r="29" spans="1:115" ht="15.75" x14ac:dyDescent="0.2">
      <c r="A29" s="398"/>
      <c r="B29" s="194"/>
      <c r="C29" s="193"/>
      <c r="D29" s="163"/>
      <c r="E29" s="163"/>
      <c r="F29" s="163"/>
      <c r="G29" s="163"/>
      <c r="H29" s="164"/>
      <c r="I29" s="169"/>
      <c r="J29" s="169"/>
      <c r="K29" s="169"/>
      <c r="L29" s="397"/>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row>
    <row r="30" spans="1:115" ht="18" x14ac:dyDescent="0.2">
      <c r="A30" s="398"/>
      <c r="B30" s="227" t="s">
        <v>24</v>
      </c>
      <c r="C30" s="584" t="e">
        <f ca="1">UPPER([3]!VExtenso(C28))</f>
        <v>#NAME?</v>
      </c>
      <c r="D30" s="584"/>
      <c r="E30" s="584"/>
      <c r="F30" s="584"/>
      <c r="G30" s="584"/>
      <c r="H30" s="584"/>
      <c r="I30" s="584"/>
      <c r="J30" s="584"/>
      <c r="K30" s="584"/>
      <c r="L30" s="585"/>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row>
    <row r="31" spans="1:115" ht="18" x14ac:dyDescent="0.2">
      <c r="A31" s="183"/>
      <c r="B31" s="228"/>
      <c r="C31" s="584"/>
      <c r="D31" s="584"/>
      <c r="E31" s="584"/>
      <c r="F31" s="584"/>
      <c r="G31" s="584"/>
      <c r="H31" s="584"/>
      <c r="I31" s="584"/>
      <c r="J31" s="584"/>
      <c r="K31" s="584"/>
      <c r="L31" s="585"/>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row>
    <row r="32" spans="1:115" ht="15.75" x14ac:dyDescent="0.2">
      <c r="A32" s="183"/>
      <c r="B32" s="162"/>
      <c r="C32" s="163"/>
      <c r="D32" s="163"/>
      <c r="E32" s="163"/>
      <c r="F32" s="163"/>
      <c r="G32" s="163"/>
      <c r="H32" s="164"/>
      <c r="I32" s="169"/>
      <c r="J32" s="169"/>
      <c r="K32" s="169"/>
      <c r="L32" s="397"/>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row>
    <row r="33" spans="1:12" ht="15.75" x14ac:dyDescent="0.2">
      <c r="A33" s="183"/>
      <c r="B33" s="162"/>
      <c r="C33" s="163"/>
      <c r="D33" s="163"/>
      <c r="E33" s="163"/>
      <c r="F33" s="163"/>
      <c r="G33" s="163"/>
      <c r="H33" s="164"/>
      <c r="I33" s="169"/>
      <c r="J33" s="169"/>
      <c r="K33" s="169"/>
      <c r="L33" s="397"/>
    </row>
    <row r="34" spans="1:12" ht="15.75" x14ac:dyDescent="0.2">
      <c r="A34" s="183"/>
      <c r="B34" s="162"/>
      <c r="C34" s="163"/>
      <c r="D34" s="163"/>
      <c r="E34" s="163"/>
      <c r="F34" s="163"/>
      <c r="G34" s="163"/>
      <c r="H34" s="164"/>
      <c r="I34" s="169"/>
      <c r="J34" s="169"/>
      <c r="K34" s="169"/>
      <c r="L34" s="397"/>
    </row>
    <row r="35" spans="1:12" ht="15.75" x14ac:dyDescent="0.2">
      <c r="A35" s="187"/>
      <c r="B35" s="165"/>
      <c r="C35" s="169"/>
      <c r="D35" s="399"/>
      <c r="E35" s="399"/>
      <c r="F35" s="169"/>
      <c r="G35" s="169"/>
      <c r="H35" s="169"/>
      <c r="I35" s="166"/>
      <c r="J35" s="166"/>
      <c r="K35" s="166"/>
      <c r="L35" s="397"/>
    </row>
    <row r="36" spans="1:12" ht="15.75" customHeight="1" x14ac:dyDescent="0.2">
      <c r="A36" s="187"/>
      <c r="B36" s="234" t="s">
        <v>25</v>
      </c>
      <c r="C36" s="169"/>
      <c r="D36" s="586" t="s">
        <v>26</v>
      </c>
      <c r="E36" s="586"/>
      <c r="F36" s="169"/>
      <c r="G36" s="169"/>
      <c r="H36" s="169"/>
      <c r="I36" s="583" t="s">
        <v>27</v>
      </c>
      <c r="J36" s="583"/>
      <c r="K36" s="583"/>
      <c r="L36" s="397"/>
    </row>
    <row r="37" spans="1:12" ht="16.5" thickBot="1" x14ac:dyDescent="0.25">
      <c r="A37" s="188"/>
      <c r="B37" s="189"/>
      <c r="C37" s="190"/>
      <c r="D37" s="190"/>
      <c r="E37" s="190"/>
      <c r="F37" s="190"/>
      <c r="G37" s="400"/>
      <c r="H37" s="400"/>
      <c r="I37" s="400"/>
      <c r="J37" s="400"/>
      <c r="K37" s="400"/>
      <c r="L37" s="401"/>
    </row>
  </sheetData>
  <mergeCells count="31">
    <mergeCell ref="I12:J12"/>
    <mergeCell ref="K12:L12"/>
    <mergeCell ref="I13:J13"/>
    <mergeCell ref="K10:L10"/>
    <mergeCell ref="I10:J10"/>
    <mergeCell ref="I11:J11"/>
    <mergeCell ref="K11:L11"/>
    <mergeCell ref="K13:L13"/>
    <mergeCell ref="A6:L6"/>
    <mergeCell ref="I7:J7"/>
    <mergeCell ref="I8:J8"/>
    <mergeCell ref="I9:J9"/>
    <mergeCell ref="K7:L7"/>
    <mergeCell ref="K8:L8"/>
    <mergeCell ref="K9:L9"/>
    <mergeCell ref="A25:B25"/>
    <mergeCell ref="H15:H17"/>
    <mergeCell ref="A15:A17"/>
    <mergeCell ref="D15:D17"/>
    <mergeCell ref="G15:G17"/>
    <mergeCell ref="B15:B17"/>
    <mergeCell ref="C15:C17"/>
    <mergeCell ref="E15:E17"/>
    <mergeCell ref="F15:F17"/>
    <mergeCell ref="I15:I17"/>
    <mergeCell ref="J15:J17"/>
    <mergeCell ref="I36:K36"/>
    <mergeCell ref="C30:L31"/>
    <mergeCell ref="K15:K17"/>
    <mergeCell ref="L15:L17"/>
    <mergeCell ref="D36:E36"/>
  </mergeCells>
  <phoneticPr fontId="0" type="noConversion"/>
  <printOptions horizontalCentered="1"/>
  <pageMargins left="0.39370078740157483" right="0.39370078740157483" top="0.6" bottom="0.74" header="0.45" footer="0.45"/>
  <pageSetup paperSize="9" scale="70" orientation="landscape" horizontalDpi="150" verticalDpi="150" r:id="rId1"/>
  <headerFooter alignWithMargins="0">
    <oddHeader>Página &amp;P de &amp;N</oddHeader>
    <oddFooter>&amp;C&amp;F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31</vt:i4>
      </vt:variant>
      <vt:variant>
        <vt:lpstr>Intervalos nomeados</vt:lpstr>
      </vt:variant>
      <vt:variant>
        <vt:i4>49</vt:i4>
      </vt:variant>
    </vt:vector>
  </HeadingPairs>
  <TitlesOfParts>
    <vt:vector size="80" baseType="lpstr">
      <vt:lpstr>12ª Med</vt:lpstr>
      <vt:lpstr>11ª Med</vt:lpstr>
      <vt:lpstr>10ª Med</vt:lpstr>
      <vt:lpstr>9ª Med</vt:lpstr>
      <vt:lpstr>8ª Med</vt:lpstr>
      <vt:lpstr>7ª Med</vt:lpstr>
      <vt:lpstr>6ª Med</vt:lpstr>
      <vt:lpstr>5ª Med</vt:lpstr>
      <vt:lpstr>4ª Med</vt:lpstr>
      <vt:lpstr>3ª Med</vt:lpstr>
      <vt:lpstr>2ª Med</vt:lpstr>
      <vt:lpstr>1ª Med</vt:lpstr>
      <vt:lpstr>RESUMO</vt:lpstr>
      <vt:lpstr>Reforma</vt:lpstr>
      <vt:lpstr>Cron Reforma</vt:lpstr>
      <vt:lpstr>Quat Const.</vt:lpstr>
      <vt:lpstr>Ampliação 02 Salas Aula</vt:lpstr>
      <vt:lpstr>Quant Ampl 02 Salas</vt:lpstr>
      <vt:lpstr>Cron Ampl 02 Salas</vt:lpstr>
      <vt:lpstr>CRONOGRAMA</vt:lpstr>
      <vt:lpstr>ORÇAMENTO</vt:lpstr>
      <vt:lpstr>REDE ÁGUA</vt:lpstr>
      <vt:lpstr>Elétrica</vt:lpstr>
      <vt:lpstr>Crono Elétrica</vt:lpstr>
      <vt:lpstr>Drenagem</vt:lpstr>
      <vt:lpstr>Crono Drenagem</vt:lpstr>
      <vt:lpstr>COMPOSIÇÕES</vt:lpstr>
      <vt:lpstr>BDI</vt:lpstr>
      <vt:lpstr>LEI</vt:lpstr>
      <vt:lpstr>DECLARAÇÃO</vt:lpstr>
      <vt:lpstr>COTAÇÕES</vt:lpstr>
      <vt:lpstr>'10ª Med'!Area_de_impressao</vt:lpstr>
      <vt:lpstr>'11ª Med'!Area_de_impressao</vt:lpstr>
      <vt:lpstr>'12ª Med'!Area_de_impressao</vt:lpstr>
      <vt:lpstr>'1ª Med'!Area_de_impressao</vt:lpstr>
      <vt:lpstr>'2ª Med'!Area_de_impressao</vt:lpstr>
      <vt:lpstr>'3ª Med'!Area_de_impressao</vt:lpstr>
      <vt:lpstr>'4ª Med'!Area_de_impressao</vt:lpstr>
      <vt:lpstr>'5ª Med'!Area_de_impressao</vt:lpstr>
      <vt:lpstr>'6ª Med'!Area_de_impressao</vt:lpstr>
      <vt:lpstr>'7ª Med'!Area_de_impressao</vt:lpstr>
      <vt:lpstr>'8ª Med'!Area_de_impressao</vt:lpstr>
      <vt:lpstr>'9ª Med'!Area_de_impressao</vt:lpstr>
      <vt:lpstr>'Ampliação 02 Salas Aula'!Area_de_impressao</vt:lpstr>
      <vt:lpstr>BDI!Area_de_impressao</vt:lpstr>
      <vt:lpstr>COMPOSIÇÕES!Area_de_impressao</vt:lpstr>
      <vt:lpstr>'Cron Ampl 02 Salas'!Area_de_impressao</vt:lpstr>
      <vt:lpstr>'Cron Reforma'!Area_de_impressao</vt:lpstr>
      <vt:lpstr>'Crono Drenagem'!Area_de_impressao</vt:lpstr>
      <vt:lpstr>'Crono Elétrica'!Area_de_impressao</vt:lpstr>
      <vt:lpstr>CRONOGRAMA!Area_de_impressao</vt:lpstr>
      <vt:lpstr>Drenagem!Area_de_impressao</vt:lpstr>
      <vt:lpstr>Elétrica!Area_de_impressao</vt:lpstr>
      <vt:lpstr>LEI!Area_de_impressao</vt:lpstr>
      <vt:lpstr>ORÇAMENTO!Area_de_impressao</vt:lpstr>
      <vt:lpstr>'Quat Const.'!Area_de_impressao</vt:lpstr>
      <vt:lpstr>'REDE ÁGUA'!Area_de_impressao</vt:lpstr>
      <vt:lpstr>Reforma!Area_de_impressao</vt:lpstr>
      <vt:lpstr>RESUMO!Area_de_impressao</vt:lpstr>
      <vt:lpstr>'10ª Med'!Titulos_de_impressao</vt:lpstr>
      <vt:lpstr>'11ª Med'!Titulos_de_impressao</vt:lpstr>
      <vt:lpstr>'12ª Med'!Titulos_de_impressao</vt:lpstr>
      <vt:lpstr>'1ª Med'!Titulos_de_impressao</vt:lpstr>
      <vt:lpstr>'2ª Med'!Titulos_de_impressao</vt:lpstr>
      <vt:lpstr>'3ª Med'!Titulos_de_impressao</vt:lpstr>
      <vt:lpstr>'4ª Med'!Titulos_de_impressao</vt:lpstr>
      <vt:lpstr>'5ª Med'!Titulos_de_impressao</vt:lpstr>
      <vt:lpstr>'6ª Med'!Titulos_de_impressao</vt:lpstr>
      <vt:lpstr>'7ª Med'!Titulos_de_impressao</vt:lpstr>
      <vt:lpstr>'8ª Med'!Titulos_de_impressao</vt:lpstr>
      <vt:lpstr>'9ª Med'!Titulos_de_impressao</vt:lpstr>
      <vt:lpstr>'Ampliação 02 Salas Aula'!Titulos_de_impressao</vt:lpstr>
      <vt:lpstr>COMPOSIÇÕES!Titulos_de_impressao</vt:lpstr>
      <vt:lpstr>'Cron Reforma'!Titulos_de_impressao</vt:lpstr>
      <vt:lpstr>'Crono Drenagem'!Titulos_de_impressao</vt:lpstr>
      <vt:lpstr>Drenagem!Titulos_de_impressao</vt:lpstr>
      <vt:lpstr>Elétrica!Titulos_de_impressao</vt:lpstr>
      <vt:lpstr>ORÇAMENTO!Titulos_de_impressao</vt:lpstr>
      <vt:lpstr>Reforma!Titulos_de_impressao</vt:lpstr>
      <vt:lpstr>RESUMO!Titulos_de_impressao</vt:lpstr>
    </vt:vector>
  </TitlesOfParts>
  <Manager/>
  <Company>workseduc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Robson Vaz</dc:creator>
  <cp:keywords/>
  <dc:description/>
  <cp:lastModifiedBy>Regane Maria Tenroller</cp:lastModifiedBy>
  <cp:revision/>
  <cp:lastPrinted>2022-11-04T17:58:09Z</cp:lastPrinted>
  <dcterms:created xsi:type="dcterms:W3CDTF">2005-05-04T18:06:36Z</dcterms:created>
  <dcterms:modified xsi:type="dcterms:W3CDTF">2022-11-17T14:17:41Z</dcterms:modified>
  <cp:category/>
  <cp:contentStatus/>
</cp:coreProperties>
</file>